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75" yWindow="1755" windowWidth="11460" windowHeight="3495" firstSheet="2" activeTab="2"/>
  </bookViews>
  <sheets>
    <sheet name="Foglio1" sheetId="1" state="veryHidden" r:id="rId1"/>
    <sheet name="Cambio anno" sheetId="2" state="veryHidden" r:id="rId2"/>
    <sheet name="Calcolo A.P.P." sheetId="3" r:id="rId3"/>
    <sheet name="Parametri" sheetId="4" state="veryHidden" r:id="rId4"/>
    <sheet name="DATI" sheetId="5" state="veryHidden" r:id="rId5"/>
    <sheet name="link" sheetId="6" state="veryHidden" r:id="rId6"/>
    <sheet name="EDR1" sheetId="7" state="veryHidden" r:id="rId7"/>
    <sheet name="Ritenute Fiscali" sheetId="8" state="veryHidden" r:id="rId8"/>
    <sheet name="ISTRUZIONI" sheetId="9" state="veryHidden" r:id="rId9"/>
    <sheet name="ISTRUZIONI2004" sheetId="10" state="veryHidden" r:id="rId10"/>
  </sheets>
  <externalReferences>
    <externalReference r:id="rId13"/>
    <externalReference r:id="rId14"/>
    <externalReference r:id="rId15"/>
  </externalReferences>
  <definedNames>
    <definedName name="_xlnm._FilterDatabase" localSheetId="6" hidden="1">'EDR1'!$B$33:$J$267</definedName>
    <definedName name="Anni_di_servizio">#REF!</definedName>
    <definedName name="AnniAl1992">#REF!</definedName>
    <definedName name="AnniAl1995">#REF!</definedName>
    <definedName name="Anno_cambio_qualifica">'link'!$Q$32:$Q$45</definedName>
    <definedName name="Anno_di_uscita">#REF!</definedName>
    <definedName name="AumentiValutazione">#REF!</definedName>
    <definedName name="Azzera_retribuzioni" localSheetId="3">#REF!,#REF!</definedName>
    <definedName name="Azzera_retribuzioni">#REF!,#REF!</definedName>
    <definedName name="Azzera_servizi" localSheetId="3">'DATI'!#REF!,'DATI'!#REF!,'DATI'!#REF!,'DATI'!#REF!,'DATI'!#REF!,'DATI'!#REF!,'DATI'!#REF!,'DATI'!#REF!,'DATI'!#REF!,'DATI'!#REF!,'DATI'!#REF!,'DATI'!#REF!</definedName>
    <definedName name="Azzera_servizi">'DATI'!#REF!,'DATI'!#REF!,'DATI'!#REF!,'DATI'!#REF!,'DATI'!#REF!,'DATI'!#REF!,'DATI'!#REF!,'DATI'!#REF!,'DATI'!#REF!,'DATI'!#REF!,'DATI'!#REF!,'DATI'!#REF!</definedName>
    <definedName name="Azzera_servizi_0" localSheetId="3">'DATI'!#REF!,'DATI'!#REF!,'DATI'!#REF!,'DATI'!#REF!,'DATI'!#REF!,'DATI'!$F$13:$F$18,'DATI'!$C$3:$C$28</definedName>
    <definedName name="Azzera_servizi_0">'DATI'!#REF!,'DATI'!#REF!,'DATI'!#REF!,'DATI'!#REF!,'DATI'!#REF!,'DATI'!$F$13:$F$17,'DATI'!$C$3:$C$30</definedName>
    <definedName name="Azzera_tabelle">#REF!</definedName>
    <definedName name="Casellamodifica6_Cambia" localSheetId="5">'link'!Casellamodifica6_Cambia</definedName>
    <definedName name="Casellamodifica6_Cambia" localSheetId="3">'Parametri'!Casellamodifica6_Cambia</definedName>
    <definedName name="Casellamodifica6_Cambia">[0]!Casellamodifica6_Cambia</definedName>
    <definedName name="Cessazione">'[3]Assicurato'!$I$17</definedName>
    <definedName name="Classi">#REF!</definedName>
    <definedName name="Controllo_38_39_anni">#REF!</definedName>
    <definedName name="Data_cessazione">#REF!</definedName>
    <definedName name="Data_nascita">#REF!</definedName>
    <definedName name="Data_pensionamento">#REF!</definedName>
    <definedName name="Decorrenza">'[3]Assicurato'!$I$16</definedName>
    <definedName name="eu">#REF!</definedName>
    <definedName name="EXPROF" localSheetId="3">'Parametri'!$X$6:$X$29</definedName>
    <definedName name="EXPROF">#REF!</definedName>
    <definedName name="EXPROFILO">'Parametri'!$X$6:$X$29</definedName>
    <definedName name="FIGURE" localSheetId="3">'Parametri'!#REF!</definedName>
    <definedName name="FIGURE">#REF!</definedName>
    <definedName name="FIGUREPROF">'Parametri'!$S$6:$S$25</definedName>
    <definedName name="fine_periodo_di_riferimento">#REF!</definedName>
    <definedName name="FINE_PERIODO_RIF">#REF!</definedName>
    <definedName name="Fine_Quinquennio">#REF!</definedName>
    <definedName name="FINE1992">#REF!</definedName>
    <definedName name="FINE1993">34334</definedName>
    <definedName name="FINE1994">#REF!</definedName>
    <definedName name="FINE1995">35064</definedName>
    <definedName name="FINE1997">#REF!</definedName>
    <definedName name="FOGGIA">#REF!</definedName>
    <definedName name="Foglio1">#REF!</definedName>
    <definedName name="FONDO_CRED">0.35</definedName>
    <definedName name="Giorni_effettivi_di_servizio">#REF!</definedName>
    <definedName name="I.N.P.D.A.P._8_75">#REF!</definedName>
    <definedName name="IMPORTO">#REF!</definedName>
    <definedName name="IMPORTO_ORARIO">#REF!</definedName>
    <definedName name="INI_PERIODO_RIF">#REF!</definedName>
    <definedName name="Ini_Quinquennio">#REF!</definedName>
    <definedName name="Inidoneo">#REF!</definedName>
    <definedName name="Inizio1900">#REF!</definedName>
    <definedName name="INIZIO1993">33970</definedName>
    <definedName name="Inizio1995">#REF!</definedName>
    <definedName name="Inizio1996">#REF!</definedName>
    <definedName name="Inizio1998">#REF!</definedName>
    <definedName name="Km">#REF!</definedName>
    <definedName name="LimitiEtà">'[3]Assicurato'!$B$22</definedName>
    <definedName name="LimitiServizio">'[3]Assicurato'!$B$23</definedName>
    <definedName name="Livello_categoria">#REF!</definedName>
    <definedName name="LOCALITÀ_E_ORARI">#REF!</definedName>
    <definedName name="Maggiorazione_1_10_in_giorni">#REF!</definedName>
    <definedName name="Maggiorazione_1_12_in_giorni">#REF!</definedName>
    <definedName name="Minimo_57_35">#REF!</definedName>
    <definedName name="Nascita">'[3]Assicurato'!$B$9</definedName>
    <definedName name="NUMAPA">'Parametri'!$AB$11:$AB$17</definedName>
    <definedName name="NUMERO_APA">'Parametri'!$AB$10:$AB$17</definedName>
    <definedName name="NuovoProfilo" localSheetId="5">'link'!NuovoProfilo</definedName>
    <definedName name="NuovoProfilo" localSheetId="3">'Parametri'!NuovoProfilo</definedName>
    <definedName name="NuovoProfilo">[0]!NuovoProfilo</definedName>
    <definedName name="OA">#REF!</definedName>
    <definedName name="OP">#REF!</definedName>
    <definedName name="or" localSheetId="5">'link'!or</definedName>
    <definedName name="or" localSheetId="3">'Parametri'!or</definedName>
    <definedName name="or">[0]!or</definedName>
    <definedName name="Ora_arr">#REF!</definedName>
    <definedName name="Ora_part">#REF!</definedName>
    <definedName name="PARAM" localSheetId="3">'Parametri'!$L$6:$L$237</definedName>
    <definedName name="PARAM">#REF!</definedName>
    <definedName name="PARAMETRI">'EDR1'!$C$3:$C$13</definedName>
    <definedName name="perc_fondo_bilat.">'EDR1'!$G$321</definedName>
    <definedName name="pippo" localSheetId="5">'link'!pippo</definedName>
    <definedName name="pippo" localSheetId="3">'Parametri'!pippo</definedName>
    <definedName name="pippo">[0]!pippo</definedName>
    <definedName name="pippo2" localSheetId="5">'link'!pippo2</definedName>
    <definedName name="pippo2" localSheetId="3">'Parametri'!pippo2</definedName>
    <definedName name="pippo2">[0]!pippo2</definedName>
    <definedName name="Precoce">#REF!</definedName>
    <definedName name="retribuzione_oraria" localSheetId="5">'[2]EDR1'!#REF!</definedName>
    <definedName name="retribuzione_oraria" localSheetId="3">'EDR1'!#REF!</definedName>
    <definedName name="retribuzione_oraria">'EDR1'!#REF!</definedName>
    <definedName name="RITENUTA_FONDO_CRED">#REF!</definedName>
    <definedName name="RITENUTA_INPDAP">#REF!</definedName>
    <definedName name="RITENUTA_IRPEF">#REF!</definedName>
    <definedName name="Scatti">#REF!</definedName>
    <definedName name="SESSO">'Parametri'!$AC$5:$AC$6</definedName>
    <definedName name="SINO">'Parametri'!$AC$21:$AC$22</definedName>
    <definedName name="TA">#REF!</definedName>
    <definedName name="Tab_aliquote">'[1]Tabelle'!#REF!</definedName>
    <definedName name="tabella">'EDR1'!$B$35:$Q$267</definedName>
    <definedName name="Tabella1">#REF!</definedName>
    <definedName name="Tabella2">#REF!</definedName>
    <definedName name="TipiServizi">'[3]Pos_Ass'!$A$94:$Q$126</definedName>
    <definedName name="TipoCalcolo">'[3]Assicurato'!$B$67</definedName>
    <definedName name="TipoPensione">'[3]Assicurato'!$G$67</definedName>
    <definedName name="TP">#REF!</definedName>
    <definedName name="Ultima_data_anzianità">#REF!</definedName>
    <definedName name="unico">#REF!</definedName>
  </definedNames>
  <calcPr fullCalcOnLoad="1"/>
</workbook>
</file>

<file path=xl/comments5.xml><?xml version="1.0" encoding="utf-8"?>
<comments xmlns="http://schemas.openxmlformats.org/spreadsheetml/2006/main">
  <authors>
    <author>Spadino</author>
  </authors>
  <commentList>
    <comment ref="C27" authorId="0">
      <text>
        <r>
          <rPr>
            <sz val="11"/>
            <color indexed="10"/>
            <rFont val="Tahoma"/>
            <family val="2"/>
          </rPr>
          <t>Se si proviene da qualifica del Settore Macchina e manca la maggiorazione di 68,69 euro inserire SI nel controllo della cella C15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<sst xmlns="http://schemas.openxmlformats.org/spreadsheetml/2006/main" count="1144" uniqueCount="543">
  <si>
    <t>quota lorda mensile per tredici mensilità.</t>
  </si>
  <si>
    <t>Indennità di chiamata in disponibilità</t>
  </si>
  <si>
    <t>Compenso per reperibilità giornate lavorative</t>
  </si>
  <si>
    <t>Compenso per reperibilità giornate solari liberi dal servizio</t>
  </si>
  <si>
    <t>Compenso per reperibilità giornate festive</t>
  </si>
  <si>
    <t>Ritenuta pro hanicappati</t>
  </si>
  <si>
    <t>Quota associativa DLF</t>
  </si>
  <si>
    <t>Ritenuta associativa Cafi</t>
  </si>
  <si>
    <t>Abbonamento Rivista Tecnica  Professionale</t>
  </si>
  <si>
    <t>Ritenuta biglietti</t>
  </si>
  <si>
    <t xml:space="preserve">Quota annuale Eurofer </t>
  </si>
  <si>
    <t>ERI in euro</t>
  </si>
  <si>
    <t>ex 167 IV</t>
  </si>
  <si>
    <t>ex 142 II</t>
  </si>
  <si>
    <t>ex 135 I</t>
  </si>
  <si>
    <t>Stipendio 1/9/2003</t>
  </si>
  <si>
    <t>Aumento tabellare 1/7/2004</t>
  </si>
  <si>
    <t>Stipendio 1/7/2004</t>
  </si>
  <si>
    <t>vecchio tabellare + IIS + EDR 92 * 13/14</t>
  </si>
  <si>
    <t>nuovo tabellare in euro</t>
  </si>
  <si>
    <t>Aumento tabellare 1/9/2003</t>
  </si>
  <si>
    <t>Importo nuove Classi</t>
  </si>
  <si>
    <t>309,87+ 275,79 + 206,58 + 31,89</t>
  </si>
  <si>
    <t>BASE+SUPERMINIMO+POSIZIONE+SAL.POSIZ.PROFESSIONALE</t>
  </si>
  <si>
    <t>(IND.FUNZ+SALARIO PROF.-€ 35,00)*14/12</t>
  </si>
  <si>
    <t>(238+329,02-35)*14/12</t>
  </si>
  <si>
    <t>IUP</t>
  </si>
  <si>
    <t xml:space="preserve">Data ultimo giorno di servizio </t>
  </si>
  <si>
    <t>EDR 11/9/98 Pdm</t>
  </si>
  <si>
    <t>SI</t>
  </si>
  <si>
    <t>inizializzazione</t>
  </si>
  <si>
    <t>NO</t>
  </si>
  <si>
    <t>SESSO</t>
  </si>
  <si>
    <t>F</t>
  </si>
  <si>
    <t>APP</t>
  </si>
  <si>
    <t>TABELLA SESSO</t>
  </si>
  <si>
    <t>EX ISPETTORE</t>
  </si>
  <si>
    <t>Data assunzione &gt; 16/4/2003 (x EDR)</t>
  </si>
  <si>
    <t>Data assunzione &gt; 31/7/2003 (x ERI)</t>
  </si>
  <si>
    <t>EUROFER</t>
  </si>
  <si>
    <t>Parametro stipendiale</t>
  </si>
  <si>
    <t>corrispondenza tabella figure professionali</t>
  </si>
  <si>
    <t>Ind. di funzione complessiva</t>
  </si>
  <si>
    <t>Ind. di funzione complessiva se diversa</t>
  </si>
  <si>
    <t>EDR 11/9/98</t>
  </si>
  <si>
    <t>Controllo per EDR 11/9/98 PdM</t>
  </si>
  <si>
    <t>Classi</t>
  </si>
  <si>
    <t>Capo Settore Stazioni</t>
  </si>
  <si>
    <t>Sesso</t>
  </si>
  <si>
    <t>13^ lorda</t>
  </si>
  <si>
    <t>Ritenute previdenziali</t>
  </si>
  <si>
    <t>Imponibile Fiscale</t>
  </si>
  <si>
    <t>13^ netta</t>
  </si>
  <si>
    <t>IRE</t>
  </si>
  <si>
    <t>Calcolo 13^ 2006</t>
  </si>
  <si>
    <t>Anno</t>
  </si>
  <si>
    <t>Totale 36esimi</t>
  </si>
  <si>
    <t>Parametro</t>
  </si>
  <si>
    <t>Figura Professionale                                                    Ex Profilo</t>
  </si>
  <si>
    <r>
      <t>Qualifiche cui spetta l’aumento del decimo fino alla quiescenza</t>
    </r>
    <r>
      <rPr>
        <sz val="10"/>
        <rFont val="Times New Roman"/>
        <family val="1"/>
      </rPr>
      <t>:</t>
    </r>
  </si>
  <si>
    <r>
      <t>Settore MACCHINA</t>
    </r>
    <r>
      <rPr>
        <sz val="10"/>
        <rFont val="Times New Roman"/>
        <family val="1"/>
      </rPr>
      <t> : Macchinista - I Tecn. Condotta - Macchinista TM - Aiuto Macch. TM -Aiuto Macch. R.E. - Macchinista TM RE.</t>
    </r>
  </si>
  <si>
    <r>
      <t>Settore VIAGGIANTE</t>
    </r>
    <r>
      <rPr>
        <sz val="10"/>
        <rFont val="Times New Roman"/>
        <family val="1"/>
      </rPr>
      <t> : Capo Treno - Capo Serv. Treno - Conduttore - Ausiliario Viagg. - Assistente Viaggiante RE.</t>
    </r>
  </si>
  <si>
    <r>
      <t>Settore NAVI TRAGHETTO</t>
    </r>
    <r>
      <rPr>
        <sz val="10"/>
        <rFont val="Times New Roman"/>
        <family val="1"/>
      </rPr>
      <t> : Nostromo - Capo Motorista - Capo Elettricista - Carpentiere - Motorista - Elettricista - Operaio di Coperta - Marinaio - Ingrassatore - Ausiliario.</t>
    </r>
  </si>
  <si>
    <r>
      <t>Settore TECNICO</t>
    </r>
    <r>
      <rPr>
        <sz val="10"/>
        <rFont val="Times New Roman"/>
        <family val="1"/>
      </rPr>
      <t> : 1° Tecn. Manovra - Manovratore (anche Operatore Circolazione che al 31/7/2003 aveva la qualifica di Manovratore) - Manovratore Capo - Ass. di Deposito</t>
    </r>
  </si>
  <si>
    <r>
      <t>Qualifiche cui spetta l’aumento del dodicesimo fino alla quiescenza</t>
    </r>
    <r>
      <rPr>
        <sz val="10"/>
        <rFont val="Times New Roman"/>
        <family val="1"/>
      </rPr>
      <t> :</t>
    </r>
  </si>
  <si>
    <r>
      <t>Settore VIAGGIANTE</t>
    </r>
    <r>
      <rPr>
        <sz val="10"/>
        <rFont val="Times New Roman"/>
        <family val="1"/>
      </rPr>
      <t> : Contr. Viagg. Sovr. - Contr. Viagg. Sup.</t>
    </r>
  </si>
  <si>
    <r>
      <t>Settore NAVI TRAGHETTO </t>
    </r>
    <r>
      <rPr>
        <sz val="10"/>
        <rFont val="Times New Roman"/>
        <family val="1"/>
      </rPr>
      <t>: Uff. Navale - Uff. di Macchina - Uff. Marconista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</si>
  <si>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</si>
  <si>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</si>
  <si>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</si>
  <si>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</si>
  <si>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</si>
  <si>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</si>
  <si>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</si>
  <si>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</si>
  <si>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</si>
  <si>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</si>
  <si>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</si>
  <si>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</si>
  <si>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Età + anzianità contributiva</t>
  </si>
  <si>
    <t>Anzianità contributiva a prescindere dall’età anagrafica</t>
  </si>
  <si>
    <t>57 + 35</t>
  </si>
  <si>
    <t>Requisiti per ottenere la pensione 
di anzianità fino all’anno 2007 
(lavoratori dipendenti)</t>
  </si>
  <si>
    <t>Data di maturazione dei requisiti</t>
  </si>
  <si>
    <t xml:space="preserve">Data di uscita </t>
  </si>
  <si>
    <t>Entro il 31 marzo</t>
  </si>
  <si>
    <t>1° luglio (con 57 anni compiuti) (1) (*)</t>
  </si>
  <si>
    <t>Entro il 30 giugno</t>
  </si>
  <si>
    <t>1° ottobre (con 57 anni compiuti) (2)(*)</t>
  </si>
  <si>
    <t>Entro il 30 settembre</t>
  </si>
  <si>
    <t>1° gennaio anno successivo (3)</t>
  </si>
  <si>
    <t>Entro il 31 dicembre</t>
  </si>
  <si>
    <t>1° aprile anno successivo (3)</t>
  </si>
  <si>
    <t>(1) 57 anni compiuti entro il 30 giugno</t>
  </si>
  <si>
    <t>(2) 57 anni compiuti entro il 30 settembre</t>
  </si>
  <si>
    <t xml:space="preserve">(3) indipendentemente dall’età anagrafica </t>
  </si>
  <si>
    <t>(*) 56 anni lavoratori precoci</t>
  </si>
  <si>
    <t>Finestre di uscita valide  fino al 2007</t>
  </si>
  <si>
    <t>57 + 35 ( * )</t>
  </si>
  <si>
    <t>( * ) Lavoratori precoci: 56 anni</t>
  </si>
  <si>
    <t>Le ritenute del 1998 sono inferiori a quelle del 1997 perché dal 98 non si paga più SSN e Gescal</t>
  </si>
  <si>
    <t>stipendi 1/1/2006</t>
  </si>
  <si>
    <t>data per calcolo 2004 o 2005 per quota B</t>
  </si>
  <si>
    <t xml:space="preserve">Data ultimo giorno di servizio + 1 </t>
  </si>
  <si>
    <t>(Indennità funzione?)</t>
  </si>
  <si>
    <t>stipendi 1/9/2005</t>
  </si>
  <si>
    <t>stipendi 1/9/2006</t>
  </si>
  <si>
    <t>stipendi 1/9/2005 - IIS</t>
  </si>
  <si>
    <t>stipendi 1/1/2006 - IIS</t>
  </si>
  <si>
    <t>stipendi 1/9/2006 - IIS</t>
  </si>
  <si>
    <t>SE(link!F36&lt;=link!G39;CERCA.VERT($E$3;EDR1!$C$3:$G$14;4;FALSO);SE(link!F36&lt;=link!$G$40;CERCA.VERT($E$3;EDR1!$C$3:$G$14;5;FALSO);SE(link!F36&lt;=link!$G$41;CERCA.VERT($E$3;EDR1!$C$3:$U$13;18;FALSO);CERCA.VERT($E$3;EDR1!$C$3:$U$13;19;FALSO);SE(link!F36&lt;=link!$G$42;CERCA.VERT($E$3;EDR1!$C$3:$v$13;19;FALSO);CERCA.VERT($E$3;EDR1!$C$3:$v$13;20;FALSO)))))</t>
  </si>
  <si>
    <t>RIDUZIONI importi pensione</t>
  </si>
  <si>
    <t>ANNI</t>
  </si>
  <si>
    <t>Legge 537</t>
  </si>
  <si>
    <t>Legge 335</t>
  </si>
  <si>
    <t>DATA ERI</t>
  </si>
  <si>
    <t>DATA EDR</t>
  </si>
  <si>
    <t>Capo Sett. Viagg. - Capo Sett. Contr. - Capo Sett. Macch. - Capo Pers. Viagg. Sovr. - Capo Dep. Sovr. - Capo Pers. Viagg. Sup. - Capo Dep. Sup. - I Tecn. Manutenz. - I Tecn. Verifica - Verificatore - Autista - Capo Sq. Ausiliari - Capo Sq. Manovali RE.</t>
  </si>
  <si>
    <t>a</t>
  </si>
  <si>
    <t>Ispettore</t>
  </si>
  <si>
    <t>controllo 31</t>
  </si>
  <si>
    <t>controllo 30</t>
  </si>
  <si>
    <t>controllo 29</t>
  </si>
  <si>
    <t>controllo 28</t>
  </si>
  <si>
    <t>manca marconista</t>
  </si>
  <si>
    <t>manca Assistente viaggiante RE</t>
  </si>
  <si>
    <t>maggiorazione per pensione</t>
  </si>
  <si>
    <t>Salario professionale</t>
  </si>
  <si>
    <t>Quadro responsabile di impianto</t>
  </si>
  <si>
    <t>TABELLA PROFILI PROFESSIONALI</t>
  </si>
  <si>
    <t>PARAMETRI</t>
  </si>
  <si>
    <t>TABELLA EX PROF DERIVATI</t>
  </si>
  <si>
    <t>EDR110998</t>
  </si>
  <si>
    <t>SALARIO PROFESS.</t>
  </si>
  <si>
    <t>MIN. CONTRATT.</t>
  </si>
  <si>
    <t>TABELLA SI/NO</t>
  </si>
  <si>
    <t>INDENNITA' FUNZIONE</t>
  </si>
  <si>
    <t>Capo Tecnico Officine Nazionali Infrastrutt. (par. 156-167)</t>
  </si>
  <si>
    <t>Capo Tecnico Manutenzione Infrastrutt. (par. 156-167)</t>
  </si>
  <si>
    <t>Assistente Capo di Stazione r.e.</t>
  </si>
  <si>
    <t>Decorrenza ultimo APA</t>
  </si>
  <si>
    <t>classe corrispondente</t>
  </si>
  <si>
    <t>giorni fra pensione e ultimo APA</t>
  </si>
  <si>
    <t>n° mesi</t>
  </si>
  <si>
    <t>RATEO APA</t>
  </si>
  <si>
    <t>RATEO APA SE CLASSE &lt; 7</t>
  </si>
  <si>
    <t>data di nascita</t>
  </si>
  <si>
    <t>Verificatore</t>
  </si>
  <si>
    <t>Capo Elettricista</t>
  </si>
  <si>
    <t>Comandante</t>
  </si>
  <si>
    <t>Carpentiere</t>
  </si>
  <si>
    <t>Direttore di Macchina</t>
  </si>
  <si>
    <t>Capo Settore Controlleria</t>
  </si>
  <si>
    <t>Capo Settore Gestioni</t>
  </si>
  <si>
    <t>Capo Settore Macchina</t>
  </si>
  <si>
    <t>Capo Settore Tecnico</t>
  </si>
  <si>
    <t>Capo Settore Uffici</t>
  </si>
  <si>
    <t>Capo Settore Viaggiante</t>
  </si>
  <si>
    <t>Ispettore Capo Aggiunto</t>
  </si>
  <si>
    <t>Primo ufficiale Marconista</t>
  </si>
  <si>
    <t>Primo ufficiale di Macchina</t>
  </si>
  <si>
    <t>Primo Ufficiale Navale</t>
  </si>
  <si>
    <t>Capo Deposito Sovrintendente</t>
  </si>
  <si>
    <t>Capo Gestione Sovrintendente</t>
  </si>
  <si>
    <t>Capo Personale Viaggiante Sovrintendente</t>
  </si>
  <si>
    <t>Capo Stazione Sovrintendente</t>
  </si>
  <si>
    <t>Capo Tecnico Sovrintendente</t>
  </si>
  <si>
    <t>Controllore Viaggiante Sovrintendente</t>
  </si>
  <si>
    <t>Ispettore Principale</t>
  </si>
  <si>
    <t>Revisore Superiore di 1^ classe</t>
  </si>
  <si>
    <t>Segretario Superiore di 1^ classe d’Informatica</t>
  </si>
  <si>
    <t>Segretario Superiore di 1^ classe</t>
  </si>
  <si>
    <t>Segretario Tecnico Superiore di 1^ classe</t>
  </si>
  <si>
    <t>Capo Motorista</t>
  </si>
  <si>
    <t>Capo Stazione Superiore (par. 186)</t>
  </si>
  <si>
    <t>Capo Tecnico Sup. Manutenzione Infrastrutture (par. 186)</t>
  </si>
  <si>
    <t>Capo Tecnico Sup. Manutenzione Rotabili (par. 186)</t>
  </si>
  <si>
    <t>Capo Tecnico Sup. Officine Navi Traghetto (par. 186)</t>
  </si>
  <si>
    <t>Capo Tecnico Sup. Officine Nazionali Infrastrutture (par. 186)</t>
  </si>
  <si>
    <t>IMP. APA BASE</t>
  </si>
  <si>
    <t>EDR81195</t>
  </si>
  <si>
    <t>Capo Tecnico Superiore (par. 186)</t>
  </si>
  <si>
    <t>Capo Treno/Capo Servizi Treno (par. 186)</t>
  </si>
  <si>
    <t>Paramedico (par. 186)</t>
  </si>
  <si>
    <t>Macchinista (par. 186)</t>
  </si>
  <si>
    <t>Nostromo  (par. 186)</t>
  </si>
  <si>
    <t>Revisore Superiore (par. 186)</t>
  </si>
  <si>
    <t>Segretario Superiore (par. 186)</t>
  </si>
  <si>
    <t>Segretario Superiore d'Informatica (par. 186)</t>
  </si>
  <si>
    <t>Segretario Tecnico Superiore (par. 186)</t>
  </si>
  <si>
    <t>Capo Gestione Superiore (par. 186)</t>
  </si>
  <si>
    <t>Tecnico Sanitario (par. 186)</t>
  </si>
  <si>
    <t>Ufficiale</t>
  </si>
  <si>
    <t>Ufficiale di Macchina</t>
  </si>
  <si>
    <t>Ufficiale Navale</t>
  </si>
  <si>
    <t>Ispettore (par. 156)</t>
  </si>
  <si>
    <t>Ispettore (par. 167)</t>
  </si>
  <si>
    <t>Capo Elettricista (par. 156)</t>
  </si>
  <si>
    <t>Capo Elettricista (par. 167)</t>
  </si>
  <si>
    <t>Capo Motorista (par. 156)</t>
  </si>
  <si>
    <t>Capo Motorista (par. 167)</t>
  </si>
  <si>
    <t>Capo Stazione(par. 156)</t>
  </si>
  <si>
    <t>Capo Stazione(par. 167)</t>
  </si>
  <si>
    <t>Capo Tecnico (par. 156)</t>
  </si>
  <si>
    <t>Capo Tecnico (par. 167)</t>
  </si>
  <si>
    <t>Capo Tecnico Manutenzione Rotabili (par. 156-167)</t>
  </si>
  <si>
    <t>Capo Tecnico Officine Navi Traghetto (par. 156-167)</t>
  </si>
  <si>
    <t>Capo Treno/Capo Servizi Treno (par. 156)</t>
  </si>
  <si>
    <t>Capo Treno/Capo Servizi Treno (par. 167)</t>
  </si>
  <si>
    <t>Paramedico (par. 156)</t>
  </si>
  <si>
    <t>Paramedico (par. 167)</t>
  </si>
  <si>
    <t>Macchinista (par. 156)</t>
  </si>
  <si>
    <t>Macchinista (par. 167)</t>
  </si>
  <si>
    <t>Nostromo (par. 156)</t>
  </si>
  <si>
    <t>Nostromo (par. 167)</t>
  </si>
  <si>
    <t>Segretario (par. 156)</t>
  </si>
  <si>
    <t>Segretario (par. 167)</t>
  </si>
  <si>
    <t>Segretario d'Informatica (par. 156)</t>
  </si>
  <si>
    <t>Segretario d'Informatica (par. 167)</t>
  </si>
  <si>
    <t>Segretario Tecnico (par. 156)</t>
  </si>
  <si>
    <t>Segretario Tecnico (par. 167)</t>
  </si>
  <si>
    <t>Capo Gestione (par. 156)</t>
  </si>
  <si>
    <t>Capo Gestione (par. 167)</t>
  </si>
  <si>
    <t>Tecnico Sanitario (par. 156)</t>
  </si>
  <si>
    <t>Tecnico Sanitario (par. 167)</t>
  </si>
  <si>
    <t>Elettricista</t>
  </si>
  <si>
    <t>Operaio di Coperta</t>
  </si>
  <si>
    <t>1° Tecnico della Manovra</t>
  </si>
  <si>
    <t>1° Tecnico Deviatore</t>
  </si>
  <si>
    <t>1° Tecnico di Stazione</t>
  </si>
  <si>
    <t>1° Tecnico di Condotta</t>
  </si>
  <si>
    <t>1° Tecnico degli Uffici</t>
  </si>
  <si>
    <t>1° Tecnico della Verifica</t>
  </si>
  <si>
    <t>1° Tecnico Manutenzione Infrastrutture</t>
  </si>
  <si>
    <t>1° Tecnico Manutenzione Rotabili</t>
  </si>
  <si>
    <t>1° Tecnico Officine navi Traghetto</t>
  </si>
  <si>
    <t>1° Tecnico Officine Nazionali Infrastrutture</t>
  </si>
  <si>
    <t>Assistente Sanitario</t>
  </si>
  <si>
    <t>Autista (par. 156)</t>
  </si>
  <si>
    <t>Capo Squadra Ausiliari (par. 156)</t>
  </si>
  <si>
    <t>Capo Squadra Manovali r.e.</t>
  </si>
  <si>
    <t>Dispensiere</t>
  </si>
  <si>
    <t>Ingrassatore (par. 156)</t>
  </si>
  <si>
    <t>Marinaio (par. 156)</t>
  </si>
  <si>
    <t>Conduttore (par. 156)</t>
  </si>
  <si>
    <t>Operatore Sanitario (par. 156)</t>
  </si>
  <si>
    <t>Tecnico (par. 156)</t>
  </si>
  <si>
    <t>Operatore della Manutenzione (par. 156)</t>
  </si>
  <si>
    <t>Assistente di Magazzino (par. 156)</t>
  </si>
  <si>
    <t>Assistente di Deposito (par. 156)</t>
  </si>
  <si>
    <t>Manutenzione Infrastrutture</t>
  </si>
  <si>
    <t>Manutenzione Rotabili</t>
  </si>
  <si>
    <t>Officine Navi Traghetto</t>
  </si>
  <si>
    <t>Officine Nazionali Infrastrutture</t>
  </si>
  <si>
    <t>Aiuto Macchinista r.e.</t>
  </si>
  <si>
    <t>Deviatore Capo</t>
  </si>
  <si>
    <t>Macchinista t.m.</t>
  </si>
  <si>
    <t>Manovratore Capo</t>
  </si>
  <si>
    <t>Operatore della Circolazione (par. 156)</t>
  </si>
  <si>
    <t>Tecnico di Stazione(par. 156)</t>
  </si>
  <si>
    <t>Operatore d'Ufficio (par. 156)</t>
  </si>
  <si>
    <t>Autista (par. 135)</t>
  </si>
  <si>
    <t>Autista (par. 142)</t>
  </si>
  <si>
    <t>Capo Squadra Ausiliari (par. 135)</t>
  </si>
  <si>
    <t>Capo Squadra Ausiliari (par. 142)</t>
  </si>
  <si>
    <t>Ingrassatore (par. 135)</t>
  </si>
  <si>
    <t>Ingrassatore (par. 142)</t>
  </si>
  <si>
    <t>Marinaio (par. 135)</t>
  </si>
  <si>
    <t>Marinaio (par. 142)</t>
  </si>
  <si>
    <t>Conduttore (par. 135)</t>
  </si>
  <si>
    <t>Conduttore (par. 142)</t>
  </si>
  <si>
    <t>Operatore Sanitario (par. 135)</t>
  </si>
  <si>
    <t>Operatore Sanitario (par. 142)</t>
  </si>
  <si>
    <t>Assistente di Stazione(par. 135)</t>
  </si>
  <si>
    <t>Assistente di Stazione(par. 142)</t>
  </si>
  <si>
    <t xml:space="preserve">Deviatore (par. 135) </t>
  </si>
  <si>
    <t>Deviatore (par. 142)</t>
  </si>
  <si>
    <t>Operatore della Circolazione (par. 135)</t>
  </si>
  <si>
    <t>Operatore della Circolazione (par. 142)</t>
  </si>
  <si>
    <t>Manovratore (par. 135)</t>
  </si>
  <si>
    <t>Manovratore (par. 142)</t>
  </si>
  <si>
    <t>Operaio Qualificato (par. 135)</t>
  </si>
  <si>
    <t>Operaio Qualificato (par. 142)</t>
  </si>
  <si>
    <t>Operatore della Manutenzione (par. 135)</t>
  </si>
  <si>
    <t>Operatore della Manutenzione (par. 142)</t>
  </si>
  <si>
    <t>Assistente di Magazzino (par. 135)</t>
  </si>
  <si>
    <t>Assistente di Magazzino (par. 142)</t>
  </si>
  <si>
    <t>Assistente di Deposito (par. 135)</t>
  </si>
  <si>
    <t>Assistente di Deposito (par. 142)</t>
  </si>
  <si>
    <t>Operatore d’Ufficio (par. 135)</t>
  </si>
  <si>
    <t>Operatore d’Ufficio (par. 142)</t>
  </si>
  <si>
    <t>Ausiliario (Tecnico) (par. 135)</t>
  </si>
  <si>
    <t>Ausiliario di Stazione(par. 135)</t>
  </si>
  <si>
    <t>Ausiliario Viaggiante (par. 135)</t>
  </si>
  <si>
    <t>Aiuto Macchinista t.m. R.e.</t>
  </si>
  <si>
    <t>Ausiliario (Uffici) (par. 135)</t>
  </si>
  <si>
    <t>Cameriere</t>
  </si>
  <si>
    <t>Carbonaio (par. 135)</t>
  </si>
  <si>
    <t>Ausiliario Tecnico (par. 100)</t>
  </si>
  <si>
    <t>Ausiliario Tecnico (par. 122)</t>
  </si>
  <si>
    <t>Ausiliario di Stazione(par. 100)</t>
  </si>
  <si>
    <t>Ausiliario di Stazione(par. 122)</t>
  </si>
  <si>
    <t>Ausiliario Uffici (par. 100)</t>
  </si>
  <si>
    <t>K1</t>
  </si>
  <si>
    <t>Ausiliario Uffici (par. 122)</t>
  </si>
  <si>
    <t>Ausiliario Viaggiante (par. 100)</t>
  </si>
  <si>
    <t>Ausiliario Viaggiante (par. 122)</t>
  </si>
  <si>
    <t>Carbonaio (par. 122)</t>
  </si>
  <si>
    <t>Garzone di Camera</t>
  </si>
  <si>
    <t>Garzone di Cucina</t>
  </si>
  <si>
    <t>Giovanotto di Coperta</t>
  </si>
  <si>
    <t>Allievo Comune Polivalente</t>
  </si>
  <si>
    <t>Mozzo</t>
  </si>
  <si>
    <t>Piccolo di Camera</t>
  </si>
  <si>
    <t>Piccolo di Cucina</t>
  </si>
  <si>
    <t>OPERATORE SPECIALIZZATO DI BORDO</t>
  </si>
  <si>
    <t>Motorista</t>
  </si>
  <si>
    <t xml:space="preserve"> Reddito annuo </t>
  </si>
  <si>
    <t>=</t>
  </si>
  <si>
    <t>di</t>
  </si>
  <si>
    <t xml:space="preserve"> Reddito mensile </t>
  </si>
  <si>
    <t>manaca CV e CPV sup.</t>
  </si>
  <si>
    <t>ERI se proveniente da parametro inferiore</t>
  </si>
  <si>
    <t>N° APA (ex classi)</t>
  </si>
  <si>
    <t>APA a.p. per differenza aumenti biennali</t>
  </si>
  <si>
    <t>edr</t>
  </si>
  <si>
    <t>eri</t>
  </si>
  <si>
    <t>ERI proprio della Figura Professionale</t>
  </si>
  <si>
    <t>Inserire SI se del settore PdM e l'importo EDR inserito risulta più basso</t>
  </si>
  <si>
    <t>Minimo contrattuale</t>
  </si>
  <si>
    <t>Aumenti periodi di anzianità APA</t>
  </si>
  <si>
    <t>Assegno ad personam</t>
  </si>
  <si>
    <t>Data assunzione giuridica</t>
  </si>
  <si>
    <t>Qualifiche cui spetta l’aumento del decimo fino al 31/12/1993 :</t>
  </si>
  <si>
    <t>1° Tecn Deviatore - Deviatore e Dev. Capo - Operat. della Circolazione - Operat .della Manutenz. - Ausiliario di Stazione.</t>
  </si>
  <si>
    <t>Qualifiche cui spetta l’aumento del dodicesimo fino al 31/12/93</t>
  </si>
  <si>
    <t>anni di servizio</t>
  </si>
  <si>
    <t>% di rendimento</t>
  </si>
  <si>
    <t>mesi di servizio</t>
  </si>
  <si>
    <t>rispetto età</t>
  </si>
  <si>
    <t>rispetto contributi</t>
  </si>
  <si>
    <t>rapporto in 12/imi</t>
  </si>
  <si>
    <t>24esimi in maturazione</t>
  </si>
  <si>
    <t>Data assunzione economica</t>
  </si>
  <si>
    <t>NUMERO APA</t>
  </si>
  <si>
    <t>Anni di età con 35 anni contributivi</t>
  </si>
  <si>
    <t>Solo anzianità contributiva (con qualsiasi età)</t>
  </si>
  <si>
    <t>Data entro la quale vengono maturati i requisiti</t>
  </si>
  <si>
    <t>finestre d'uscita per anzianità rispetto la tabella precedente</t>
  </si>
  <si>
    <t>Data entro la quale è possibile ottenere la pensione</t>
  </si>
  <si>
    <t xml:space="preserve">1° luglio con età uguale o superiore ad anni </t>
  </si>
  <si>
    <t xml:space="preserve">1° gennaio successivo con età inferiore ad anni </t>
  </si>
  <si>
    <t xml:space="preserve">1° ottobre con età uguale o superiore ad anni </t>
  </si>
  <si>
    <t>1° gennaio dell'anno successivo</t>
  </si>
  <si>
    <t>Quadro Responsabile di Impianto</t>
  </si>
  <si>
    <t>M</t>
  </si>
  <si>
    <t>rispetto le precedenti versioni, variate le rivalutazioni indici ISTAT in foglio tabelle come da sole 24 ore</t>
  </si>
  <si>
    <t>repubblica 13/6/2002</t>
  </si>
  <si>
    <t xml:space="preserve">versato 35 anni di contributi non c'è niente </t>
  </si>
  <si>
    <t>da fare.</t>
  </si>
  <si>
    <t xml:space="preserve">in pensione solo chi ha compiuto i 57 anni. </t>
  </si>
  <si>
    <t xml:space="preserve">Per chi ha meno di 57 anni, anche se ha </t>
  </si>
  <si>
    <t xml:space="preserve"> fino a €</t>
  </si>
  <si>
    <t xml:space="preserve"> Costante a detrarre €</t>
  </si>
  <si>
    <t xml:space="preserve"> oltre €</t>
  </si>
  <si>
    <t xml:space="preserve">per redditi imponibili fino a </t>
  </si>
  <si>
    <t>per redditi imponibili oltre i</t>
  </si>
  <si>
    <t xml:space="preserve">a luglio e ottobre 2002 potrà andare </t>
  </si>
  <si>
    <t>Trattenute previdenziali</t>
  </si>
  <si>
    <t xml:space="preserve">fino a </t>
  </si>
  <si>
    <t xml:space="preserve">oltre </t>
  </si>
  <si>
    <t>Reddito imponibile</t>
  </si>
  <si>
    <t xml:space="preserve">da </t>
  </si>
  <si>
    <t xml:space="preserve">percentuale </t>
  </si>
  <si>
    <t>Ex profilo non previsto</t>
  </si>
  <si>
    <t>Anni di età con 35 anni contributivi precoci + operai Tab. B L.335/95</t>
  </si>
  <si>
    <t>sole 24 ore 29 dicembre 2003</t>
  </si>
  <si>
    <t xml:space="preserve">a gennaio 2004 potrà andare </t>
  </si>
  <si>
    <t>in pensione solo chi al 30/9/2003 ha compiuto</t>
  </si>
  <si>
    <t xml:space="preserve">i 57 anni 56 per i pubblici 55 per i precoci </t>
  </si>
  <si>
    <t>Per chi ha meno di 57 anni</t>
  </si>
  <si>
    <t>può andare se ha versato 37 anni di contributi. ??????</t>
  </si>
  <si>
    <t>Sistema contributivo: viene moltiplicato il montante per un coefficiente di trasformazione pari a:</t>
  </si>
  <si>
    <t>6,136 con 65 anno di età fino a 4,72 per chi ha 57 anni.</t>
  </si>
  <si>
    <t>link</t>
  </si>
  <si>
    <t>livelli parametri</t>
  </si>
  <si>
    <t>parametri</t>
  </si>
  <si>
    <t>stipendi 1/1/2003</t>
  </si>
  <si>
    <t>stipendi 1/9/2003</t>
  </si>
  <si>
    <t>stipendi 1/7/2004</t>
  </si>
  <si>
    <t>Importo Classi</t>
  </si>
  <si>
    <t>indennità di funzione</t>
  </si>
  <si>
    <t>A</t>
  </si>
  <si>
    <t>B</t>
  </si>
  <si>
    <t>C</t>
  </si>
  <si>
    <t>calcolo classi</t>
  </si>
  <si>
    <t>D1</t>
  </si>
  <si>
    <t>D2</t>
  </si>
  <si>
    <t>E</t>
  </si>
  <si>
    <t>F1</t>
  </si>
  <si>
    <t>F2</t>
  </si>
  <si>
    <t>G1</t>
  </si>
  <si>
    <t>G2</t>
  </si>
  <si>
    <t>H</t>
  </si>
  <si>
    <t>IIS previgente CCNL</t>
  </si>
  <si>
    <t>stipendi 1/9/2003 - IIS</t>
  </si>
  <si>
    <t>stipendi 1/7/2004 - IIS</t>
  </si>
  <si>
    <t>EDR 8.11.1995</t>
  </si>
  <si>
    <t>EDR 11.9.1998</t>
  </si>
  <si>
    <t>SALARIO PROFESSIONALE</t>
  </si>
  <si>
    <t>ERI</t>
  </si>
  <si>
    <t>livello / parametro</t>
  </si>
  <si>
    <t>Figure professionali</t>
  </si>
  <si>
    <t>ex profili professionali</t>
  </si>
  <si>
    <t xml:space="preserve">Importo mensile  </t>
  </si>
  <si>
    <t xml:space="preserve">Importo mensile </t>
  </si>
  <si>
    <t>.</t>
  </si>
  <si>
    <t>COMANDANTE</t>
  </si>
  <si>
    <t>DIRETTORE DI MACCHINA</t>
  </si>
  <si>
    <t xml:space="preserve">PROFESSIONAL SENIOR </t>
  </si>
  <si>
    <t>PROFESSIONAL SENIOR (SETTORE MACCHINA)</t>
  </si>
  <si>
    <t xml:space="preserve">RESPONSABILE STRUTTURA OPERATIVA </t>
  </si>
  <si>
    <t>PRIMO UFFICIALE</t>
  </si>
  <si>
    <t>PRIMO UFFICIALE DI MACCHINA</t>
  </si>
  <si>
    <t>PRIMO UFFICIALE NAVALE</t>
  </si>
  <si>
    <t xml:space="preserve">PROFESSIONAL </t>
  </si>
  <si>
    <t>PROFESSIONAL (SETTORE MACCHINA)</t>
  </si>
  <si>
    <t>PROFESSIONAL SANITARIO</t>
  </si>
  <si>
    <t>RESPONSABILE DI LINEA OPERATIVA-TECNICA (SETTORE MACCHINA)</t>
  </si>
  <si>
    <t>RESPONSABILE DI LINEA/UNITÁ OPERATIVA/TECNICA</t>
  </si>
  <si>
    <t>IMPIEGATO DIRETTIVO</t>
  </si>
  <si>
    <t>ANALISTA CONTABILE</t>
  </si>
  <si>
    <t>ANALISTA PROGRAMMATORE</t>
  </si>
  <si>
    <t>CAPO ELETTRICISTA</t>
  </si>
  <si>
    <t>CAPO MOTORISTA</t>
  </si>
  <si>
    <t>CAPO STAZIONE</t>
  </si>
  <si>
    <t>CAPO TECNICO</t>
  </si>
  <si>
    <t>CAPO TRENO/CAPO SERVIZI TRENO</t>
  </si>
  <si>
    <t>COADIUTORE MEDICO</t>
  </si>
  <si>
    <t>MACCHINISTA</t>
  </si>
  <si>
    <t xml:space="preserve">NOSTROMO </t>
  </si>
  <si>
    <t>SPECIALISTA TECNICO/AMMINISTRATIVO</t>
  </si>
  <si>
    <t xml:space="preserve"> SPECIALISTA TECNICO COMMERCIALE</t>
  </si>
  <si>
    <t>TECNICO SANITARIO</t>
  </si>
  <si>
    <t>UFFICIALE</t>
  </si>
  <si>
    <t>UFFICIALE DI MACCHINA</t>
  </si>
  <si>
    <t>UFFICIALE NAVALE</t>
  </si>
  <si>
    <t>-</t>
  </si>
  <si>
    <t>CARPENTIERE</t>
  </si>
  <si>
    <t>ELETTRICISTA</t>
  </si>
  <si>
    <t>MOTORISTA</t>
  </si>
  <si>
    <t>OPERAIO DI COPERTA</t>
  </si>
  <si>
    <t>TECNICO CIRCOLAZIONE</t>
  </si>
  <si>
    <t>TECNICO COMMERCIALE</t>
  </si>
  <si>
    <t>Realizzato da Roberto SPADINO - ORSA BARI</t>
  </si>
  <si>
    <t>TECNICO DI MANOVRA E CONDOTTA</t>
  </si>
  <si>
    <t>TECNICO DI UFFICIO</t>
  </si>
  <si>
    <t>TECNICO DI VERIFICA</t>
  </si>
  <si>
    <t>TECNICO FORMAZIONE TRENO</t>
  </si>
  <si>
    <t>TECNICO MANUTENZIONE</t>
  </si>
  <si>
    <t>TECNICO SANITARIO SPECIALIZZATO</t>
  </si>
  <si>
    <t>AUTISTA</t>
  </si>
  <si>
    <t>CAPO SQUADRA AUSILIARI</t>
  </si>
  <si>
    <t>DISPENSIERE</t>
  </si>
  <si>
    <t>INFERMIERE</t>
  </si>
  <si>
    <t>INGRASSATORE</t>
  </si>
  <si>
    <t>MARINAIO</t>
  </si>
  <si>
    <t>OERATORE SPECIALIZZATO DI BORDO</t>
  </si>
  <si>
    <t>OPERATORE SANITARIO SPECIALIZZATO</t>
  </si>
  <si>
    <t>OPERATORE SPEC.TO MANUTENZIONE</t>
  </si>
  <si>
    <t>OPERATORE SPECIALIZZATO CIRCOLAZIONE</t>
  </si>
  <si>
    <t>OPERATORE SPECIALIZZATO UFFICI</t>
  </si>
  <si>
    <t>AUSILIARIO</t>
  </si>
  <si>
    <t>CAMERIERE</t>
  </si>
  <si>
    <t>CARBONAIO</t>
  </si>
  <si>
    <t>GARZONE DI CAMERA</t>
  </si>
  <si>
    <t>GARZONE DI CUCINA</t>
  </si>
  <si>
    <t>GIOVANOTTO DI COPERTA</t>
  </si>
  <si>
    <t>ALLIEVO COMUNE POLIVALENTE</t>
  </si>
  <si>
    <t>MANOVALE</t>
  </si>
  <si>
    <t>MOZZO</t>
  </si>
  <si>
    <t>PICCOLO DI CAMERA</t>
  </si>
  <si>
    <t>PICCOLO DI CUCINA</t>
  </si>
  <si>
    <t>aliquota notturna</t>
  </si>
  <si>
    <t>aliquota domenicale</t>
  </si>
  <si>
    <t>Pasqua</t>
  </si>
  <si>
    <t>Trasferta Rimb. Km (Tab. ACI)</t>
  </si>
  <si>
    <t>Indennità di trasferta &gt; 4 ore  &lt; = a 12 ore</t>
  </si>
  <si>
    <t>39/1/FS</t>
  </si>
  <si>
    <t>Indennità di trasferta &gt; a 12 ore</t>
  </si>
  <si>
    <t>Indennità di trasferta ore residue</t>
  </si>
  <si>
    <t>Indennità di trasferta giornaliera &gt; a 48 ore regime forfait</t>
  </si>
  <si>
    <t>Indennità di trasferta giornaliera &gt; a 48 ore regime forfait ore residue</t>
  </si>
  <si>
    <t>IUP PDM KM Condotta</t>
  </si>
  <si>
    <t>compenso maneggio denaro</t>
  </si>
  <si>
    <t>Indennità di turno fisso o spezzato &lt; 1 ora</t>
  </si>
  <si>
    <t>78/3</t>
  </si>
  <si>
    <t>Indennità di turno spezzato &gt;1 &lt;= 2 ore</t>
  </si>
  <si>
    <t>Indennità di turno spezzato &gt;2 fino a 3 ore  liv. prof. A - B - C - D</t>
  </si>
  <si>
    <t>76/1</t>
  </si>
  <si>
    <t>Indennità di turno spezzato &gt;2 fino a 3 ore liv. prof. E - F - G - H</t>
  </si>
  <si>
    <t>Indennità di turno in seconda</t>
  </si>
  <si>
    <t>Indennità di turno in terza</t>
  </si>
  <si>
    <t>Indennità di turno non cadenzato</t>
  </si>
  <si>
    <t>Completamento fine corsa PDM</t>
  </si>
  <si>
    <t xml:space="preserve">Indennità di linea esente IRPEF &lt; 10 ore per Quadri </t>
  </si>
  <si>
    <t>=L.10240</t>
  </si>
  <si>
    <t xml:space="preserve">Indennità di linea esente IRPEF &gt; 10 ore per Quadri </t>
  </si>
  <si>
    <t xml:space="preserve">Indennità di linea esente IRPEF &lt; 10 ore restante personale </t>
  </si>
  <si>
    <t xml:space="preserve">Indennità di linea esente IRPEF &gt; 10 ore restante personale </t>
  </si>
  <si>
    <t>Trasferta indennità chilometrica</t>
  </si>
  <si>
    <t>Indennità per cantieri notturni</t>
  </si>
  <si>
    <t>Importo non tassato TR</t>
  </si>
  <si>
    <t>Importo TR</t>
  </si>
  <si>
    <t>Indennità di fessurizzazione</t>
  </si>
  <si>
    <t>ZOOM</t>
  </si>
  <si>
    <t xml:space="preserve">Comp.ass.residenza per servizi senza riposo fuori residenza </t>
  </si>
  <si>
    <t>39/3/FS</t>
  </si>
  <si>
    <t>Comp.ass.residenza per servizi con riposo fuori residenza</t>
  </si>
  <si>
    <t>Comp.ass.residenza per servizi notturni nelle carrozze cuccette</t>
  </si>
  <si>
    <t>Indennità giornaliera di pernottazione</t>
  </si>
  <si>
    <t>Compenso per condotta mezzi di trazione con potenza superiore a 200 CV</t>
  </si>
  <si>
    <t>Indennità di chiamata in reperibilità</t>
  </si>
  <si>
    <t>retribuzione media settimanale x numero settimane x 0,001538465 =</t>
  </si>
  <si>
    <t>Cognome</t>
  </si>
  <si>
    <t>Nome</t>
  </si>
  <si>
    <t>Data nascita</t>
  </si>
  <si>
    <t>da calcolo Visual Basic</t>
  </si>
  <si>
    <t>da Visual Basic</t>
  </si>
  <si>
    <t>14^ lorda</t>
  </si>
  <si>
    <t>14^ netta</t>
  </si>
  <si>
    <t>Variare in Worksheet l'intestazione della barra del titolo</t>
  </si>
  <si>
    <t xml:space="preserve">CAMBIARE OGNI ANNO </t>
  </si>
  <si>
    <t>LA DATA IN Dati C3</t>
  </si>
  <si>
    <t xml:space="preserve">per redditi imponibili fra 15000,01 e </t>
  </si>
  <si>
    <t xml:space="preserve">per redditi imponibili fra 29000,01 e </t>
  </si>
  <si>
    <t>costante a detrarre</t>
  </si>
  <si>
    <t>Trattenute erariali</t>
  </si>
  <si>
    <t>Scaglioni annuali di reddito</t>
  </si>
  <si>
    <t>per redditi imponibili fra 32600,01 e</t>
  </si>
  <si>
    <t>Aliquota</t>
  </si>
  <si>
    <t>Inserire in DATI C3 data corrispondente a stipendio in vigore</t>
  </si>
  <si>
    <t>Attualmente è inserito l'ultimo possibile (settembre 2006)</t>
  </si>
</sst>
</file>

<file path=xl/styles.xml><?xml version="1.0" encoding="utf-8"?>
<styleSheet xmlns="http://schemas.openxmlformats.org/spreadsheetml/2006/main">
  <numFmts count="6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0.0%"/>
    <numFmt numFmtId="172" formatCode="0.000%"/>
    <numFmt numFmtId="173" formatCode="_-* #,##0.00_-;\-* #,##0.00_-;_-* &quot;-&quot;_-;_-@_-"/>
    <numFmt numFmtId="174" formatCode="_-* #,##0.00000_-;\-* #,##0.00000_-;_-* &quot;-&quot;_-;_-@_-"/>
    <numFmt numFmtId="175" formatCode="#\ ?/10"/>
    <numFmt numFmtId="176" formatCode="yyyy"/>
    <numFmt numFmtId="177" formatCode="mm"/>
    <numFmt numFmtId="178" formatCode="0.00000"/>
    <numFmt numFmtId="179" formatCode="0.000"/>
    <numFmt numFmtId="180" formatCode="0.0000"/>
    <numFmt numFmtId="181" formatCode="0.000000"/>
    <numFmt numFmtId="182" formatCode="d\ mmmm\ yyyy"/>
    <numFmt numFmtId="183" formatCode="_-* #,##0.0_-;\-* #,##0.0_-;_-* &quot;-&quot;?_-;_-@_-"/>
    <numFmt numFmtId="184" formatCode="00"/>
    <numFmt numFmtId="185" formatCode="#,##0.00\ [$€-1]"/>
    <numFmt numFmtId="186" formatCode="#,##0.00\ [$€-1];\-#,##0.00\ [$€-1]"/>
    <numFmt numFmtId="187" formatCode="[$€-2]\ #,##0.00;\-[$€-2]\ #,##0.00"/>
    <numFmt numFmtId="188" formatCode="[$€-2]\ #,##0.00"/>
    <numFmt numFmtId="189" formatCode="[$€-2]\ #,##0"/>
    <numFmt numFmtId="190" formatCode="#,##0\ [$€-1];[Red]\-#,##0\ [$€-1]"/>
    <numFmt numFmtId="191" formatCode="_-[$€-2]\ * #,##0.00_-;\-[$€-2]\ * #,##0.00_-;_-[$€-2]\ * &quot;-&quot;??_-;_-@_-"/>
    <numFmt numFmtId="192" formatCode="_-[$€-2]\ * #,##0.00000_-;\-[$€-2]\ * #,##0.00000_-;_-[$€-2]\ * &quot;-&quot;?????_-;_-@_-"/>
    <numFmt numFmtId="193" formatCode="&quot;€&quot;\ #,##0.00"/>
    <numFmt numFmtId="194" formatCode="[$€-2]\ #,##0.00000"/>
    <numFmt numFmtId="195" formatCode="[$€-2]\ #,##0.000000"/>
    <numFmt numFmtId="196" formatCode="&quot;$&quot;#,##0_);[Red]\(&quot;$&quot;#,##0\)"/>
    <numFmt numFmtId="197" formatCode="&quot;$&quot;#,##0.00_);[Red]\(&quot;$&quot;#,##0.00\)"/>
    <numFmt numFmtId="198" formatCode="_(&quot;$&quot;* #,##0_);_(&quot;$&quot;* \(#,##0\);_(&quot;$&quot;* &quot;-&quot;_);_(@_)"/>
    <numFmt numFmtId="199" formatCode="d/m/yy"/>
    <numFmt numFmtId="200" formatCode="_-[$€-2]\ * #,##0.00_-;\-[$€-2]\ * #,##0.00_-;_-[$€-2]\ * &quot;-&quot;??_-"/>
    <numFmt numFmtId="201" formatCode="#,##0.0_);[Red]\(#,##0.0\)"/>
    <numFmt numFmtId="202" formatCode="0.00%;[Red]\-0.00%"/>
    <numFmt numFmtId="203" formatCode="mmm\-yy_)"/>
    <numFmt numFmtId="204" formatCode="0.0%;[Red]\-0.0%"/>
    <numFmt numFmtId="205" formatCode="m/d/yy_)"/>
    <numFmt numFmtId="206" formatCode="###0_)"/>
    <numFmt numFmtId="207" formatCode="_-* #,##0.0000_-;\-* #,##0.0000_-;_-* &quot;-&quot;_-;_-@_-"/>
    <numFmt numFmtId="208" formatCode="[$-410]dddd\ d\ mmmm\ yyyy"/>
    <numFmt numFmtId="209" formatCode="[$-410]d\ mmmm\ yyyy;@"/>
    <numFmt numFmtId="210" formatCode="&quot;Sì&quot;;&quot;Sì&quot;;&quot;No&quot;"/>
    <numFmt numFmtId="211" formatCode="&quot;Vero&quot;;&quot;Vero&quot;;&quot;Falso&quot;"/>
    <numFmt numFmtId="212" formatCode="&quot;Attivo&quot;;&quot;Attivo&quot;;&quot;Disattivo&quot;"/>
    <numFmt numFmtId="213" formatCode="[$€-2]\ #.##000_);[Red]\([$€-2]\ #.##000\)"/>
    <numFmt numFmtId="214" formatCode="[$€-2]\ #,##0.00;[Red]\-[$€-2]\ #,##0.00"/>
    <numFmt numFmtId="215" formatCode="h\.mm\.ss"/>
    <numFmt numFmtId="216" formatCode="#,##0.0000\ [$€-1];\-#,##0.0000\ [$€-1]"/>
    <numFmt numFmtId="217" formatCode="dd/mm/yy;@"/>
    <numFmt numFmtId="218" formatCode="mmm\-yyyy"/>
    <numFmt numFmtId="219" formatCode="d/m/yyyy;@"/>
    <numFmt numFmtId="220" formatCode="#,##0.000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u val="single"/>
      <sz val="7.5"/>
      <color indexed="12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b/>
      <sz val="10"/>
      <name val="Helv"/>
      <family val="0"/>
    </font>
    <font>
      <sz val="10"/>
      <name val="Univers (WN)"/>
      <family val="0"/>
    </font>
    <font>
      <b/>
      <sz val="10"/>
      <color indexed="12"/>
      <name val="Helv"/>
      <family val="0"/>
    </font>
    <font>
      <sz val="10"/>
      <color indexed="8"/>
      <name val="MS Sans Serif"/>
      <family val="0"/>
    </font>
    <font>
      <sz val="11"/>
      <name val="Arial"/>
      <family val="2"/>
    </font>
    <font>
      <sz val="6"/>
      <name val="Times New Roman"/>
      <family val="0"/>
    </font>
    <font>
      <sz val="10"/>
      <name val="Univers (E1)"/>
      <family val="0"/>
    </font>
    <font>
      <b/>
      <sz val="12"/>
      <name val="Univers (WN)"/>
      <family val="0"/>
    </font>
    <font>
      <b/>
      <sz val="10"/>
      <name val="Univers (WN)"/>
      <family val="0"/>
    </font>
    <font>
      <sz val="8"/>
      <name val="Helv"/>
      <family val="0"/>
    </font>
    <font>
      <sz val="11"/>
      <color indexed="10"/>
      <name val="Tahoma"/>
      <family val="2"/>
    </font>
    <font>
      <sz val="10"/>
      <color indexed="8"/>
      <name val="Arial"/>
      <family val="0"/>
    </font>
    <font>
      <b/>
      <sz val="10"/>
      <color indexed="1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Arial"/>
      <family val="0"/>
    </font>
    <font>
      <b/>
      <sz val="12"/>
      <color indexed="46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0"/>
    </font>
    <font>
      <sz val="8"/>
      <color indexed="18"/>
      <name val="Arial"/>
      <family val="0"/>
    </font>
    <font>
      <b/>
      <sz val="10"/>
      <color indexed="18"/>
      <name val="Roman 10cpi"/>
      <family val="0"/>
    </font>
    <font>
      <b/>
      <sz val="9"/>
      <color indexed="18"/>
      <name val="Arial"/>
      <family val="0"/>
    </font>
    <font>
      <sz val="9"/>
      <color indexed="18"/>
      <name val="Arial"/>
      <family val="0"/>
    </font>
    <font>
      <sz val="24"/>
      <color indexed="18"/>
      <name val="Times New Roman"/>
      <family val="1"/>
    </font>
    <font>
      <b/>
      <sz val="12"/>
      <color indexed="18"/>
      <name val="Arial"/>
      <family val="2"/>
    </font>
    <font>
      <sz val="12"/>
      <color indexed="18"/>
      <name val="Arial"/>
      <family val="0"/>
    </font>
    <font>
      <sz val="14"/>
      <color indexed="18"/>
      <name val="Arial"/>
      <family val="0"/>
    </font>
    <font>
      <b/>
      <i/>
      <sz val="12"/>
      <color indexed="18"/>
      <name val="Times New Roman"/>
      <family val="1"/>
    </font>
    <font>
      <b/>
      <sz val="14"/>
      <color indexed="18"/>
      <name val="Arial"/>
      <family val="2"/>
    </font>
    <font>
      <i/>
      <sz val="8"/>
      <color indexed="18"/>
      <name val="Arial"/>
      <family val="2"/>
    </font>
    <font>
      <b/>
      <sz val="8.5"/>
      <color indexed="18"/>
      <name val="MS Sans Serif"/>
      <family val="2"/>
    </font>
    <font>
      <b/>
      <sz val="11"/>
      <color indexed="18"/>
      <name val="Arial"/>
      <family val="2"/>
    </font>
    <font>
      <u val="single"/>
      <sz val="7.5"/>
      <color indexed="18"/>
      <name val="Arial"/>
      <family val="0"/>
    </font>
    <font>
      <sz val="8"/>
      <color indexed="18"/>
      <name val="Times New Roman"/>
      <family val="1"/>
    </font>
    <font>
      <sz val="7"/>
      <color indexed="18"/>
      <name val="Arial"/>
      <family val="0"/>
    </font>
    <font>
      <sz val="8"/>
      <color indexed="18"/>
      <name val="Arial Narrow"/>
      <family val="2"/>
    </font>
    <font>
      <sz val="7"/>
      <color indexed="18"/>
      <name val="Arial Narrow"/>
      <family val="2"/>
    </font>
    <font>
      <sz val="7"/>
      <color indexed="18"/>
      <name val="Courier"/>
      <family val="3"/>
    </font>
    <font>
      <sz val="8"/>
      <color indexed="18"/>
      <name val="Courier"/>
      <family val="3"/>
    </font>
    <font>
      <i/>
      <sz val="9"/>
      <color indexed="18"/>
      <name val="Arial"/>
      <family val="2"/>
    </font>
    <font>
      <b/>
      <sz val="8"/>
      <color indexed="18"/>
      <name val="Arial"/>
      <family val="0"/>
    </font>
    <font>
      <b/>
      <sz val="10"/>
      <color indexed="18"/>
      <name val="Courier"/>
      <family val="3"/>
    </font>
    <font>
      <sz val="8"/>
      <color indexed="18"/>
      <name val="Roman 10cpi"/>
      <family val="0"/>
    </font>
    <font>
      <sz val="10"/>
      <color indexed="18"/>
      <name val="MS Sans Serif"/>
      <family val="0"/>
    </font>
    <font>
      <b/>
      <sz val="10"/>
      <color indexed="18"/>
      <name val="MS Sans Serif"/>
      <family val="0"/>
    </font>
    <font>
      <sz val="26"/>
      <color indexed="1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46"/>
      </left>
      <right style="thin">
        <color indexed="46"/>
      </right>
      <top style="double">
        <color indexed="46"/>
      </top>
      <bottom style="thin">
        <color indexed="46"/>
      </bottom>
    </border>
    <border>
      <left style="thin">
        <color indexed="46"/>
      </left>
      <right style="thin">
        <color indexed="46"/>
      </right>
      <top style="double">
        <color indexed="46"/>
      </top>
      <bottom style="thin">
        <color indexed="46"/>
      </bottom>
    </border>
    <border>
      <left style="thin">
        <color indexed="46"/>
      </left>
      <right style="double">
        <color indexed="46"/>
      </right>
      <top style="double">
        <color indexed="46"/>
      </top>
      <bottom style="thin">
        <color indexed="46"/>
      </bottom>
    </border>
    <border>
      <left style="double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double">
        <color indexed="46"/>
      </right>
      <top style="thin">
        <color indexed="46"/>
      </top>
      <bottom style="thin">
        <color indexed="46"/>
      </bottom>
    </border>
    <border>
      <left style="double">
        <color indexed="46"/>
      </left>
      <right style="thin">
        <color indexed="46"/>
      </right>
      <top style="thin">
        <color indexed="46"/>
      </top>
      <bottom style="double">
        <color indexed="46"/>
      </bottom>
    </border>
    <border>
      <left>
        <color indexed="63"/>
      </left>
      <right>
        <color indexed="63"/>
      </right>
      <top style="thin">
        <color indexed="46"/>
      </top>
      <bottom style="double">
        <color indexed="46"/>
      </bottom>
    </border>
    <border>
      <left>
        <color indexed="63"/>
      </left>
      <right style="double">
        <color indexed="46"/>
      </right>
      <top style="thin">
        <color indexed="46"/>
      </top>
      <bottom style="double">
        <color indexed="46"/>
      </bottom>
    </border>
    <border>
      <left style="thin">
        <color indexed="46"/>
      </left>
      <right style="double">
        <color indexed="46"/>
      </right>
      <top style="thin">
        <color indexed="46"/>
      </top>
      <bottom style="double">
        <color indexed="46"/>
      </bottom>
    </border>
    <border>
      <left style="double">
        <color indexed="46"/>
      </left>
      <right>
        <color indexed="63"/>
      </right>
      <top style="double">
        <color indexed="46"/>
      </top>
      <bottom>
        <color indexed="63"/>
      </bottom>
    </border>
    <border>
      <left>
        <color indexed="63"/>
      </left>
      <right>
        <color indexed="63"/>
      </right>
      <top style="double">
        <color indexed="46"/>
      </top>
      <bottom>
        <color indexed="63"/>
      </bottom>
    </border>
    <border>
      <left>
        <color indexed="63"/>
      </left>
      <right style="double">
        <color indexed="46"/>
      </right>
      <top style="double">
        <color indexed="46"/>
      </top>
      <bottom>
        <color indexed="63"/>
      </bottom>
    </border>
    <border>
      <left style="thin">
        <color indexed="46"/>
      </left>
      <right style="double">
        <color indexed="46"/>
      </right>
      <top>
        <color indexed="63"/>
      </top>
      <bottom style="thin">
        <color indexed="4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9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55"/>
      </right>
      <top style="medium">
        <color indexed="9"/>
      </top>
      <bottom style="medium">
        <color indexed="55"/>
      </bottom>
    </border>
    <border>
      <left style="medium">
        <color indexed="9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double"/>
      <top style="thin">
        <color indexed="9"/>
      </top>
      <bottom style="thin">
        <color indexed="9"/>
      </bottom>
    </border>
    <border>
      <left style="thin">
        <color indexed="23"/>
      </left>
      <right style="double"/>
      <top>
        <color indexed="63"/>
      </top>
      <bottom>
        <color indexed="63"/>
      </bottom>
    </border>
    <border>
      <left style="thin">
        <color indexed="23"/>
      </left>
      <right style="double"/>
      <top style="thin">
        <color indexed="9"/>
      </top>
      <bottom>
        <color indexed="63"/>
      </bottom>
    </border>
    <border>
      <left style="thin">
        <color indexed="9"/>
      </left>
      <right style="double"/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6"/>
      </right>
      <top>
        <color indexed="63"/>
      </top>
      <bottom>
        <color indexed="63"/>
      </bottom>
    </border>
    <border>
      <left style="double">
        <color indexed="46"/>
      </left>
      <right>
        <color indexed="63"/>
      </right>
      <top>
        <color indexed="63"/>
      </top>
      <bottom style="double">
        <color indexed="46"/>
      </bottom>
    </border>
    <border>
      <left>
        <color indexed="63"/>
      </left>
      <right>
        <color indexed="63"/>
      </right>
      <top>
        <color indexed="63"/>
      </top>
      <bottom style="double">
        <color indexed="46"/>
      </bottom>
    </border>
    <border>
      <left>
        <color indexed="63"/>
      </left>
      <right style="double">
        <color indexed="46"/>
      </right>
      <top>
        <color indexed="63"/>
      </top>
      <bottom style="double">
        <color indexed="46"/>
      </bottom>
    </border>
    <border>
      <left style="thin">
        <color indexed="46"/>
      </left>
      <right style="thin">
        <color indexed="46"/>
      </right>
      <top style="thin">
        <color indexed="46"/>
      </top>
      <bottom style="double">
        <color indexed="46"/>
      </bottom>
    </border>
    <border>
      <left style="double">
        <color indexed="46"/>
      </left>
      <right style="thin">
        <color indexed="46"/>
      </right>
      <top>
        <color indexed="63"/>
      </top>
      <bottom style="thin">
        <color indexed="46"/>
      </bottom>
    </border>
    <border>
      <left style="thin">
        <color indexed="46"/>
      </left>
      <right style="thin">
        <color indexed="46"/>
      </right>
      <top>
        <color indexed="63"/>
      </top>
      <bottom style="thin">
        <color indexed="46"/>
      </bottom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5" fillId="0" borderId="0" applyNumberFormat="0" applyFill="0" applyBorder="0" applyAlignment="0">
      <protection/>
    </xf>
    <xf numFmtId="0" fontId="12" fillId="2" borderId="1">
      <alignment horizontal="left"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2" fillId="3" borderId="0">
      <alignment horizontal="right"/>
      <protection/>
    </xf>
    <xf numFmtId="200" fontId="0" fillId="0" borderId="0" applyFont="0" applyFill="0" applyBorder="0" applyAlignment="0" applyProtection="0"/>
    <xf numFmtId="0" fontId="12" fillId="4" borderId="0">
      <alignment horizontal="right"/>
      <protection/>
    </xf>
    <xf numFmtId="0" fontId="14" fillId="0" borderId="1">
      <alignment horizontal="left"/>
      <protection/>
    </xf>
    <xf numFmtId="43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203" fontId="13" fillId="0" borderId="0" applyFont="0" applyFill="0" applyBorder="0" applyAlignment="0" applyProtection="0"/>
    <xf numFmtId="201" fontId="16" fillId="0" borderId="0" applyFill="0" applyBorder="0" applyAlignment="0">
      <protection/>
    </xf>
    <xf numFmtId="201" fontId="17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0" fontId="0" fillId="0" borderId="0">
      <alignment/>
      <protection/>
    </xf>
    <xf numFmtId="204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9" fillId="0" borderId="0" applyFill="0" applyBorder="0" applyAlignment="0" applyProtection="0"/>
    <xf numFmtId="204" fontId="20" fillId="0" borderId="0" applyFill="0" applyBorder="0" applyAlignment="0" applyProtection="0"/>
    <xf numFmtId="199" fontId="21" fillId="0" borderId="2">
      <alignment horizontal="center"/>
      <protection/>
    </xf>
    <xf numFmtId="10" fontId="18" fillId="0" borderId="3" applyNumberFormat="0" applyFont="0" applyFill="0" applyAlignment="0" applyProtection="0"/>
    <xf numFmtId="16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6" fontId="1" fillId="0" borderId="4" applyFont="0" applyFill="0" applyBorder="0" applyAlignment="0" applyProtection="0"/>
  </cellStyleXfs>
  <cellXfs count="453">
    <xf numFmtId="0" fontId="0" fillId="0" borderId="0" xfId="0" applyAlignment="1">
      <alignment/>
    </xf>
    <xf numFmtId="0" fontId="0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25" fillId="4" borderId="0" xfId="0" applyFont="1" applyFill="1" applyAlignment="1" applyProtection="1">
      <alignment horizontal="justify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0" fontId="0" fillId="4" borderId="6" xfId="0" applyFont="1" applyFill="1" applyBorder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0" fillId="4" borderId="7" xfId="0" applyFont="1" applyFill="1" applyBorder="1" applyAlignment="1" applyProtection="1">
      <alignment/>
      <protection hidden="1"/>
    </xf>
    <xf numFmtId="0" fontId="0" fillId="4" borderId="1" xfId="0" applyFont="1" applyFill="1" applyBorder="1" applyAlignment="1" applyProtection="1">
      <alignment/>
      <protection hidden="1"/>
    </xf>
    <xf numFmtId="0" fontId="0" fillId="4" borderId="8" xfId="0" applyFont="1" applyFill="1" applyBorder="1" applyAlignment="1" applyProtection="1">
      <alignment/>
      <protection hidden="1"/>
    </xf>
    <xf numFmtId="0" fontId="0" fillId="4" borderId="9" xfId="0" applyFont="1" applyFill="1" applyBorder="1" applyAlignment="1" applyProtection="1">
      <alignment/>
      <protection hidden="1"/>
    </xf>
    <xf numFmtId="0" fontId="0" fillId="4" borderId="10" xfId="0" applyFont="1" applyFill="1" applyBorder="1" applyAlignment="1" applyProtection="1">
      <alignment/>
      <protection hidden="1"/>
    </xf>
    <xf numFmtId="0" fontId="0" fillId="4" borderId="11" xfId="0" applyFont="1" applyFill="1" applyBorder="1" applyAlignment="1" applyProtection="1">
      <alignment/>
      <protection hidden="1"/>
    </xf>
    <xf numFmtId="0" fontId="0" fillId="4" borderId="12" xfId="0" applyFont="1" applyFill="1" applyBorder="1" applyAlignment="1" applyProtection="1">
      <alignment/>
      <protection hidden="1"/>
    </xf>
    <xf numFmtId="0" fontId="0" fillId="4" borderId="13" xfId="0" applyFont="1" applyFill="1" applyBorder="1" applyAlignment="1" applyProtection="1">
      <alignment/>
      <protection hidden="1"/>
    </xf>
    <xf numFmtId="0" fontId="0" fillId="4" borderId="14" xfId="0" applyFont="1" applyFill="1" applyBorder="1" applyAlignment="1" applyProtection="1">
      <alignment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16" fontId="0" fillId="4" borderId="17" xfId="0" applyNumberFormat="1" applyFont="1" applyFill="1" applyBorder="1" applyAlignment="1" applyProtection="1">
      <alignment/>
      <protection hidden="1"/>
    </xf>
    <xf numFmtId="0" fontId="0" fillId="4" borderId="18" xfId="0" applyFont="1" applyFill="1" applyBorder="1" applyAlignment="1" applyProtection="1">
      <alignment/>
      <protection hidden="1"/>
    </xf>
    <xf numFmtId="0" fontId="0" fillId="4" borderId="19" xfId="0" applyFont="1" applyFill="1" applyBorder="1" applyAlignment="1" applyProtection="1">
      <alignment/>
      <protection hidden="1"/>
    </xf>
    <xf numFmtId="0" fontId="0" fillId="4" borderId="20" xfId="0" applyFont="1" applyFill="1" applyBorder="1" applyAlignment="1" applyProtection="1">
      <alignment/>
      <protection hidden="1"/>
    </xf>
    <xf numFmtId="0" fontId="0" fillId="4" borderId="21" xfId="0" applyFont="1" applyFill="1" applyBorder="1" applyAlignment="1" applyProtection="1">
      <alignment/>
      <protection hidden="1"/>
    </xf>
    <xf numFmtId="0" fontId="0" fillId="4" borderId="22" xfId="0" applyFont="1" applyFill="1" applyBorder="1" applyAlignment="1" applyProtection="1">
      <alignment/>
      <protection hidden="1"/>
    </xf>
    <xf numFmtId="0" fontId="0" fillId="4" borderId="23" xfId="0" applyFont="1" applyFill="1" applyBorder="1" applyAlignment="1" applyProtection="1">
      <alignment/>
      <protection hidden="1"/>
    </xf>
    <xf numFmtId="0" fontId="0" fillId="4" borderId="24" xfId="0" applyFont="1" applyFill="1" applyBorder="1" applyAlignment="1" applyProtection="1">
      <alignment/>
      <protection hidden="1"/>
    </xf>
    <xf numFmtId="16" fontId="0" fillId="4" borderId="25" xfId="0" applyNumberFormat="1" applyFont="1" applyFill="1" applyBorder="1" applyAlignment="1" applyProtection="1">
      <alignment/>
      <protection hidden="1"/>
    </xf>
    <xf numFmtId="0" fontId="0" fillId="4" borderId="26" xfId="0" applyFont="1" applyFill="1" applyBorder="1" applyAlignment="1" applyProtection="1">
      <alignment/>
      <protection hidden="1"/>
    </xf>
    <xf numFmtId="0" fontId="0" fillId="4" borderId="27" xfId="0" applyFont="1" applyFill="1" applyBorder="1" applyAlignment="1" applyProtection="1">
      <alignment/>
      <protection hidden="1"/>
    </xf>
    <xf numFmtId="0" fontId="0" fillId="4" borderId="28" xfId="0" applyFont="1" applyFill="1" applyBorder="1" applyAlignment="1" applyProtection="1">
      <alignment/>
      <protection hidden="1"/>
    </xf>
    <xf numFmtId="16" fontId="0" fillId="4" borderId="21" xfId="0" applyNumberFormat="1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27" fillId="4" borderId="29" xfId="0" applyFont="1" applyFill="1" applyBorder="1" applyAlignment="1" applyProtection="1">
      <alignment horizontal="justify"/>
      <protection hidden="1"/>
    </xf>
    <xf numFmtId="0" fontId="27" fillId="4" borderId="0" xfId="0" applyFont="1" applyFill="1" applyBorder="1" applyAlignment="1" applyProtection="1">
      <alignment horizontal="justify"/>
      <protection hidden="1"/>
    </xf>
    <xf numFmtId="0" fontId="27" fillId="4" borderId="30" xfId="0" applyFont="1" applyFill="1" applyBorder="1" applyAlignment="1" applyProtection="1">
      <alignment horizontal="justify"/>
      <protection hidden="1"/>
    </xf>
    <xf numFmtId="0" fontId="0" fillId="4" borderId="0" xfId="0" applyFont="1" applyFill="1" applyAlignment="1" applyProtection="1">
      <alignment horizontal="left"/>
      <protection hidden="1"/>
    </xf>
    <xf numFmtId="0" fontId="26" fillId="4" borderId="0" xfId="0" applyFont="1" applyFill="1" applyBorder="1" applyAlignment="1" applyProtection="1">
      <alignment horizontal="justify"/>
      <protection hidden="1"/>
    </xf>
    <xf numFmtId="0" fontId="25" fillId="4" borderId="17" xfId="0" applyFont="1" applyFill="1" applyBorder="1" applyAlignment="1" applyProtection="1">
      <alignment/>
      <protection hidden="1"/>
    </xf>
    <xf numFmtId="0" fontId="25" fillId="4" borderId="19" xfId="0" applyFont="1" applyFill="1" applyBorder="1" applyAlignment="1" applyProtection="1">
      <alignment/>
      <protection hidden="1"/>
    </xf>
    <xf numFmtId="0" fontId="25" fillId="4" borderId="20" xfId="0" applyFont="1" applyFill="1" applyBorder="1" applyAlignment="1" applyProtection="1">
      <alignment/>
      <protection hidden="1"/>
    </xf>
    <xf numFmtId="0" fontId="27" fillId="4" borderId="29" xfId="0" applyFont="1" applyFill="1" applyBorder="1" applyAlignment="1" applyProtection="1">
      <alignment/>
      <protection hidden="1"/>
    </xf>
    <xf numFmtId="0" fontId="27" fillId="4" borderId="0" xfId="0" applyFont="1" applyFill="1" applyBorder="1" applyAlignment="1" applyProtection="1">
      <alignment/>
      <protection hidden="1"/>
    </xf>
    <xf numFmtId="0" fontId="27" fillId="4" borderId="30" xfId="0" applyFont="1" applyFill="1" applyBorder="1" applyAlignment="1" applyProtection="1">
      <alignment/>
      <protection hidden="1"/>
    </xf>
    <xf numFmtId="0" fontId="25" fillId="4" borderId="29" xfId="0" applyFont="1" applyFill="1" applyBorder="1" applyAlignment="1" applyProtection="1">
      <alignment/>
      <protection hidden="1"/>
    </xf>
    <xf numFmtId="0" fontId="25" fillId="4" borderId="0" xfId="0" applyFont="1" applyFill="1" applyBorder="1" applyAlignment="1" applyProtection="1">
      <alignment/>
      <protection hidden="1"/>
    </xf>
    <xf numFmtId="0" fontId="25" fillId="4" borderId="30" xfId="0" applyFont="1" applyFill="1" applyBorder="1" applyAlignment="1" applyProtection="1">
      <alignment/>
      <protection hidden="1"/>
    </xf>
    <xf numFmtId="0" fontId="26" fillId="4" borderId="21" xfId="0" applyFont="1" applyFill="1" applyBorder="1" applyAlignment="1" applyProtection="1">
      <alignment/>
      <protection hidden="1"/>
    </xf>
    <xf numFmtId="0" fontId="26" fillId="4" borderId="23" xfId="0" applyFont="1" applyFill="1" applyBorder="1" applyAlignment="1" applyProtection="1">
      <alignment/>
      <protection hidden="1"/>
    </xf>
    <xf numFmtId="0" fontId="26" fillId="4" borderId="24" xfId="0" applyFont="1" applyFill="1" applyBorder="1" applyAlignment="1" applyProtection="1">
      <alignment/>
      <protection hidden="1"/>
    </xf>
    <xf numFmtId="0" fontId="26" fillId="4" borderId="0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23" fillId="5" borderId="0" xfId="0" applyFont="1" applyFill="1" applyBorder="1" applyAlignment="1" applyProtection="1">
      <alignment/>
      <protection hidden="1"/>
    </xf>
    <xf numFmtId="0" fontId="28" fillId="5" borderId="0" xfId="0" applyFont="1" applyFill="1" applyBorder="1" applyAlignment="1" applyProtection="1">
      <alignment horizontal="left"/>
      <protection hidden="1"/>
    </xf>
    <xf numFmtId="0" fontId="29" fillId="6" borderId="31" xfId="0" applyFont="1" applyFill="1" applyBorder="1" applyAlignment="1">
      <alignment horizontal="center" vertical="center" wrapText="1"/>
    </xf>
    <xf numFmtId="0" fontId="29" fillId="6" borderId="32" xfId="0" applyFont="1" applyFill="1" applyBorder="1" applyAlignment="1">
      <alignment horizontal="center" vertical="center" wrapText="1"/>
    </xf>
    <xf numFmtId="0" fontId="29" fillId="6" borderId="33" xfId="0" applyFont="1" applyFill="1" applyBorder="1" applyAlignment="1">
      <alignment horizontal="center" vertical="center" wrapText="1"/>
    </xf>
    <xf numFmtId="0" fontId="30" fillId="6" borderId="34" xfId="0" applyFont="1" applyFill="1" applyBorder="1" applyAlignment="1">
      <alignment horizontal="center" vertical="top" wrapText="1"/>
    </xf>
    <xf numFmtId="0" fontId="30" fillId="6" borderId="35" xfId="0" applyFont="1" applyFill="1" applyBorder="1" applyAlignment="1">
      <alignment horizontal="center" vertical="top" wrapText="1"/>
    </xf>
    <xf numFmtId="0" fontId="30" fillId="6" borderId="36" xfId="0" applyFont="1" applyFill="1" applyBorder="1" applyAlignment="1">
      <alignment horizontal="center" vertical="top" wrapText="1"/>
    </xf>
    <xf numFmtId="0" fontId="30" fillId="6" borderId="37" xfId="0" applyFont="1" applyFill="1" applyBorder="1" applyAlignment="1" applyProtection="1">
      <alignment horizontal="right"/>
      <protection hidden="1"/>
    </xf>
    <xf numFmtId="0" fontId="30" fillId="6" borderId="38" xfId="0" applyFont="1" applyFill="1" applyBorder="1" applyAlignment="1" applyProtection="1">
      <alignment/>
      <protection hidden="1"/>
    </xf>
    <xf numFmtId="0" fontId="31" fillId="6" borderId="39" xfId="0" applyFont="1" applyFill="1" applyBorder="1" applyAlignment="1" applyProtection="1">
      <alignment/>
      <protection hidden="1"/>
    </xf>
    <xf numFmtId="0" fontId="31" fillId="6" borderId="36" xfId="0" applyFont="1" applyFill="1" applyBorder="1" applyAlignment="1">
      <alignment horizontal="left" vertical="top" wrapText="1"/>
    </xf>
    <xf numFmtId="0" fontId="31" fillId="6" borderId="40" xfId="0" applyFont="1" applyFill="1" applyBorder="1" applyAlignment="1">
      <alignment horizontal="left" vertical="top" wrapText="1"/>
    </xf>
    <xf numFmtId="0" fontId="30" fillId="6" borderId="41" xfId="0" applyFont="1" applyFill="1" applyBorder="1" applyAlignment="1" applyProtection="1">
      <alignment horizontal="center"/>
      <protection hidden="1"/>
    </xf>
    <xf numFmtId="0" fontId="31" fillId="6" borderId="42" xfId="0" applyFont="1" applyFill="1" applyBorder="1" applyAlignment="1" applyProtection="1">
      <alignment/>
      <protection hidden="1"/>
    </xf>
    <xf numFmtId="0" fontId="31" fillId="6" borderId="43" xfId="0" applyFont="1" applyFill="1" applyBorder="1" applyAlignment="1" applyProtection="1">
      <alignment/>
      <protection hidden="1"/>
    </xf>
    <xf numFmtId="0" fontId="31" fillId="6" borderId="44" xfId="0" applyFont="1" applyFill="1" applyBorder="1" applyAlignment="1">
      <alignment horizontal="left" vertical="top" wrapText="1"/>
    </xf>
    <xf numFmtId="0" fontId="24" fillId="7" borderId="0" xfId="0" applyFont="1" applyFill="1" applyAlignment="1" applyProtection="1">
      <alignment/>
      <protection hidden="1" locked="0"/>
    </xf>
    <xf numFmtId="0" fontId="33" fillId="7" borderId="0" xfId="0" applyFont="1" applyFill="1" applyAlignment="1" applyProtection="1">
      <alignment/>
      <protection hidden="1"/>
    </xf>
    <xf numFmtId="0" fontId="33" fillId="7" borderId="0" xfId="0" applyFont="1" applyFill="1" applyAlignment="1" applyProtection="1" quotePrefix="1">
      <alignment/>
      <protection hidden="1"/>
    </xf>
    <xf numFmtId="0" fontId="24" fillId="7" borderId="1" xfId="0" applyFont="1" applyFill="1" applyBorder="1" applyAlignment="1" applyProtection="1">
      <alignment/>
      <protection hidden="1" locked="0"/>
    </xf>
    <xf numFmtId="0" fontId="33" fillId="7" borderId="0" xfId="0" applyFont="1" applyFill="1" applyAlignment="1" applyProtection="1">
      <alignment/>
      <protection hidden="1" locked="0"/>
    </xf>
    <xf numFmtId="0" fontId="24" fillId="7" borderId="0" xfId="0" applyFont="1" applyFill="1" applyAlignment="1" applyProtection="1">
      <alignment/>
      <protection hidden="1" locked="0"/>
    </xf>
    <xf numFmtId="44" fontId="24" fillId="7" borderId="45" xfId="0" applyNumberFormat="1" applyFont="1" applyFill="1" applyBorder="1" applyAlignment="1" applyProtection="1">
      <alignment/>
      <protection hidden="1" locked="0"/>
    </xf>
    <xf numFmtId="44" fontId="24" fillId="7" borderId="0" xfId="0" applyNumberFormat="1" applyFont="1" applyFill="1" applyAlignment="1" applyProtection="1">
      <alignment/>
      <protection hidden="1" locked="0"/>
    </xf>
    <xf numFmtId="0" fontId="24" fillId="7" borderId="0" xfId="0" applyFont="1" applyFill="1" applyAlignment="1" applyProtection="1">
      <alignment horizontal="left"/>
      <protection hidden="1" locked="0"/>
    </xf>
    <xf numFmtId="0" fontId="24" fillId="7" borderId="1" xfId="0" applyFont="1" applyFill="1" applyBorder="1" applyAlignment="1" applyProtection="1">
      <alignment horizontal="center"/>
      <protection hidden="1" locked="0"/>
    </xf>
    <xf numFmtId="0" fontId="33" fillId="7" borderId="0" xfId="0" applyFont="1" applyFill="1" applyAlignment="1" applyProtection="1" quotePrefix="1">
      <alignment/>
      <protection hidden="1" locked="0"/>
    </xf>
    <xf numFmtId="0" fontId="33" fillId="7" borderId="0" xfId="0" applyNumberFormat="1" applyFont="1" applyFill="1" applyAlignment="1" applyProtection="1">
      <alignment/>
      <protection hidden="1" locked="0"/>
    </xf>
    <xf numFmtId="0" fontId="34" fillId="7" borderId="0" xfId="42" applyFont="1" applyFill="1" applyProtection="1">
      <alignment/>
      <protection hidden="1"/>
    </xf>
    <xf numFmtId="0" fontId="34" fillId="7" borderId="0" xfId="42" applyFont="1" applyFill="1" applyProtection="1">
      <alignment/>
      <protection hidden="1" locked="0"/>
    </xf>
    <xf numFmtId="0" fontId="34" fillId="7" borderId="0" xfId="42" applyFont="1" applyFill="1" applyProtection="1">
      <alignment/>
      <protection hidden="1" locked="0"/>
    </xf>
    <xf numFmtId="0" fontId="24" fillId="7" borderId="0" xfId="42" applyFont="1" applyFill="1" applyAlignment="1" applyProtection="1">
      <alignment horizontal="center"/>
      <protection hidden="1" locked="0"/>
    </xf>
    <xf numFmtId="14" fontId="35" fillId="7" borderId="0" xfId="42" applyNumberFormat="1" applyFont="1" applyFill="1" applyBorder="1" applyAlignment="1" applyProtection="1">
      <alignment wrapText="1"/>
      <protection hidden="1" locked="0"/>
    </xf>
    <xf numFmtId="14" fontId="35" fillId="7" borderId="0" xfId="42" applyNumberFormat="1" applyFont="1" applyFill="1" applyBorder="1" applyAlignment="1" applyProtection="1">
      <alignment/>
      <protection hidden="1" locked="0"/>
    </xf>
    <xf numFmtId="0" fontId="34" fillId="7" borderId="0" xfId="39" applyFont="1" applyFill="1" applyBorder="1" applyAlignment="1" applyProtection="1">
      <alignment/>
      <protection hidden="1" locked="0"/>
    </xf>
    <xf numFmtId="0" fontId="34" fillId="7" borderId="0" xfId="39" applyFont="1" applyFill="1" applyBorder="1" applyProtection="1">
      <alignment/>
      <protection hidden="1" locked="0"/>
    </xf>
    <xf numFmtId="0" fontId="34" fillId="7" borderId="0" xfId="38" applyFont="1" applyFill="1" applyProtection="1">
      <alignment/>
      <protection hidden="1" locked="0"/>
    </xf>
    <xf numFmtId="0" fontId="34" fillId="7" borderId="0" xfId="38" applyFont="1" applyFill="1" applyProtection="1">
      <alignment/>
      <protection hidden="1"/>
    </xf>
    <xf numFmtId="192" fontId="34" fillId="7" borderId="0" xfId="42" applyNumberFormat="1" applyFont="1" applyFill="1" applyProtection="1">
      <alignment/>
      <protection hidden="1"/>
    </xf>
    <xf numFmtId="0" fontId="34" fillId="7" borderId="0" xfId="38" applyFont="1" applyFill="1" applyBorder="1" applyProtection="1">
      <alignment/>
      <protection hidden="1" locked="0"/>
    </xf>
    <xf numFmtId="0" fontId="33" fillId="7" borderId="0" xfId="42" applyFont="1" applyFill="1" applyProtection="1">
      <alignment/>
      <protection hidden="1" locked="0"/>
    </xf>
    <xf numFmtId="0" fontId="33" fillId="7" borderId="0" xfId="42" applyFont="1" applyFill="1" applyAlignment="1" applyProtection="1">
      <alignment/>
      <protection hidden="1" locked="0"/>
    </xf>
    <xf numFmtId="0" fontId="36" fillId="7" borderId="0" xfId="42" applyFont="1" applyFill="1" applyBorder="1" applyAlignment="1" applyProtection="1">
      <alignment horizontal="center"/>
      <protection hidden="1" locked="0"/>
    </xf>
    <xf numFmtId="0" fontId="34" fillId="7" borderId="0" xfId="38" applyFont="1" applyFill="1" applyBorder="1" applyProtection="1">
      <alignment/>
      <protection hidden="1"/>
    </xf>
    <xf numFmtId="0" fontId="37" fillId="7" borderId="0" xfId="42" applyFont="1" applyFill="1" applyAlignment="1" applyProtection="1">
      <alignment horizontal="center"/>
      <protection hidden="1" locked="0"/>
    </xf>
    <xf numFmtId="188" fontId="37" fillId="7" borderId="0" xfId="40" applyNumberFormat="1" applyFont="1" applyFill="1" applyBorder="1" applyAlignment="1" applyProtection="1">
      <alignment horizontal="right" vertical="top"/>
      <protection hidden="1" locked="0"/>
    </xf>
    <xf numFmtId="0" fontId="36" fillId="7" borderId="0" xfId="42" applyFont="1" applyFill="1" applyBorder="1" applyAlignment="1" applyProtection="1">
      <alignment/>
      <protection hidden="1" locked="0"/>
    </xf>
    <xf numFmtId="1" fontId="34" fillId="7" borderId="0" xfId="38" applyNumberFormat="1" applyFont="1" applyFill="1" applyProtection="1">
      <alignment/>
      <protection hidden="1" locked="0"/>
    </xf>
    <xf numFmtId="14" fontId="34" fillId="7" borderId="0" xfId="38" applyNumberFormat="1" applyFont="1" applyFill="1" applyProtection="1">
      <alignment/>
      <protection hidden="1" locked="0"/>
    </xf>
    <xf numFmtId="14" fontId="34" fillId="7" borderId="0" xfId="38" applyNumberFormat="1" applyFont="1" applyFill="1" applyAlignment="1" applyProtection="1">
      <alignment horizontal="right"/>
      <protection hidden="1" locked="0"/>
    </xf>
    <xf numFmtId="0" fontId="38" fillId="7" borderId="46" xfId="0" applyFont="1" applyFill="1" applyBorder="1" applyAlignment="1" applyProtection="1">
      <alignment vertical="center"/>
      <protection hidden="1" locked="0"/>
    </xf>
    <xf numFmtId="0" fontId="39" fillId="7" borderId="47" xfId="0" applyFont="1" applyFill="1" applyBorder="1" applyAlignment="1" applyProtection="1">
      <alignment horizontal="left"/>
      <protection hidden="1" locked="0"/>
    </xf>
    <xf numFmtId="0" fontId="40" fillId="7" borderId="48" xfId="0" applyFont="1" applyFill="1" applyBorder="1" applyAlignment="1" applyProtection="1">
      <alignment wrapText="1"/>
      <protection hidden="1" locked="0"/>
    </xf>
    <xf numFmtId="0" fontId="41" fillId="7" borderId="49" xfId="0" applyFont="1" applyFill="1" applyBorder="1" applyAlignment="1" applyProtection="1">
      <alignment wrapText="1"/>
      <protection hidden="1" locked="0"/>
    </xf>
    <xf numFmtId="14" fontId="24" fillId="7" borderId="50" xfId="0" applyNumberFormat="1" applyFont="1" applyFill="1" applyBorder="1" applyAlignment="1" applyProtection="1">
      <alignment/>
      <protection hidden="1" locked="0"/>
    </xf>
    <xf numFmtId="0" fontId="42" fillId="7" borderId="0" xfId="0" applyFont="1" applyFill="1" applyBorder="1" applyAlignment="1" applyProtection="1">
      <alignment horizontal="centerContinuous" vertical="center"/>
      <protection hidden="1" locked="0"/>
    </xf>
    <xf numFmtId="0" fontId="33" fillId="7" borderId="0" xfId="0" applyFont="1" applyFill="1" applyBorder="1" applyAlignment="1" applyProtection="1">
      <alignment/>
      <protection hidden="1" locked="0"/>
    </xf>
    <xf numFmtId="0" fontId="33" fillId="7" borderId="51" xfId="0" applyFont="1" applyFill="1" applyBorder="1" applyAlignment="1" applyProtection="1">
      <alignment/>
      <protection hidden="1" locked="0"/>
    </xf>
    <xf numFmtId="0" fontId="39" fillId="7" borderId="0" xfId="0" applyFont="1" applyFill="1" applyAlignment="1" applyProtection="1">
      <alignment/>
      <protection hidden="1" locked="0"/>
    </xf>
    <xf numFmtId="0" fontId="33" fillId="7" borderId="0" xfId="0" applyFont="1" applyFill="1" applyAlignment="1" applyProtection="1">
      <alignment/>
      <protection hidden="1" locked="0"/>
    </xf>
    <xf numFmtId="0" fontId="24" fillId="7" borderId="0" xfId="0" applyFont="1" applyFill="1" applyAlignment="1" applyProtection="1">
      <alignment horizontal="center" vertical="center"/>
      <protection hidden="1" locked="0"/>
    </xf>
    <xf numFmtId="0" fontId="24" fillId="7" borderId="0" xfId="0" applyFont="1" applyFill="1" applyBorder="1" applyAlignment="1" applyProtection="1">
      <alignment/>
      <protection hidden="1" locked="0"/>
    </xf>
    <xf numFmtId="14" fontId="33" fillId="7" borderId="52" xfId="0" applyNumberFormat="1" applyFont="1" applyFill="1" applyBorder="1" applyAlignment="1" applyProtection="1">
      <alignment horizontal="center"/>
      <protection hidden="1" locked="0"/>
    </xf>
    <xf numFmtId="0" fontId="43" fillId="7" borderId="0" xfId="0" applyFont="1" applyFill="1" applyAlignment="1" applyProtection="1">
      <alignment/>
      <protection hidden="1" locked="0"/>
    </xf>
    <xf numFmtId="14" fontId="33" fillId="7" borderId="53" xfId="0" applyNumberFormat="1" applyFont="1" applyFill="1" applyBorder="1" applyAlignment="1" applyProtection="1">
      <alignment horizontal="center"/>
      <protection hidden="1" locked="0"/>
    </xf>
    <xf numFmtId="0" fontId="44" fillId="7" borderId="0" xfId="0" applyFont="1" applyFill="1" applyBorder="1" applyAlignment="1" applyProtection="1">
      <alignment/>
      <protection hidden="1" locked="0"/>
    </xf>
    <xf numFmtId="193" fontId="33" fillId="7" borderId="0" xfId="0" applyNumberFormat="1" applyFont="1" applyFill="1" applyAlignment="1" applyProtection="1">
      <alignment/>
      <protection hidden="1" locked="0"/>
    </xf>
    <xf numFmtId="0" fontId="45" fillId="7" borderId="0" xfId="0" applyFont="1" applyFill="1" applyBorder="1" applyAlignment="1" applyProtection="1">
      <alignment/>
      <protection hidden="1" locked="0"/>
    </xf>
    <xf numFmtId="14" fontId="46" fillId="7" borderId="0" xfId="0" applyNumberFormat="1" applyFont="1" applyFill="1" applyBorder="1" applyAlignment="1" applyProtection="1">
      <alignment/>
      <protection hidden="1" locked="0"/>
    </xf>
    <xf numFmtId="0" fontId="24" fillId="7" borderId="54" xfId="0" applyFont="1" applyFill="1" applyBorder="1" applyAlignment="1" applyProtection="1">
      <alignment/>
      <protection hidden="1" locked="0"/>
    </xf>
    <xf numFmtId="14" fontId="46" fillId="7" borderId="55" xfId="0" applyNumberFormat="1" applyFont="1" applyFill="1" applyBorder="1" applyAlignment="1" applyProtection="1">
      <alignment/>
      <protection hidden="1" locked="0"/>
    </xf>
    <xf numFmtId="0" fontId="33" fillId="7" borderId="56" xfId="0" applyFont="1" applyFill="1" applyBorder="1" applyAlignment="1" applyProtection="1">
      <alignment/>
      <protection hidden="1" locked="0"/>
    </xf>
    <xf numFmtId="0" fontId="33" fillId="7" borderId="55" xfId="0" applyFont="1" applyFill="1" applyBorder="1" applyAlignment="1" applyProtection="1">
      <alignment/>
      <protection hidden="1" locked="0"/>
    </xf>
    <xf numFmtId="0" fontId="24" fillId="7" borderId="57" xfId="0" applyFont="1" applyFill="1" applyBorder="1" applyAlignment="1" applyProtection="1">
      <alignment/>
      <protection hidden="1" locked="0"/>
    </xf>
    <xf numFmtId="0" fontId="33" fillId="7" borderId="58" xfId="0" applyFont="1" applyFill="1" applyBorder="1" applyAlignment="1" applyProtection="1">
      <alignment/>
      <protection hidden="1" locked="0"/>
    </xf>
    <xf numFmtId="14" fontId="46" fillId="7" borderId="59" xfId="0" applyNumberFormat="1" applyFont="1" applyFill="1" applyBorder="1" applyAlignment="1" applyProtection="1">
      <alignment/>
      <protection hidden="1" locked="0"/>
    </xf>
    <xf numFmtId="0" fontId="47" fillId="7" borderId="0" xfId="17" applyFont="1" applyFill="1" applyAlignment="1" applyProtection="1">
      <alignment/>
      <protection hidden="1" locked="0"/>
    </xf>
    <xf numFmtId="0" fontId="24" fillId="7" borderId="0" xfId="0" applyFont="1" applyFill="1" applyBorder="1" applyAlignment="1" applyProtection="1">
      <alignment horizontal="center"/>
      <protection hidden="1" locked="0"/>
    </xf>
    <xf numFmtId="0" fontId="33" fillId="7" borderId="60" xfId="0" applyFont="1" applyFill="1" applyBorder="1" applyAlignment="1" applyProtection="1">
      <alignment/>
      <protection hidden="1" locked="0"/>
    </xf>
    <xf numFmtId="14" fontId="46" fillId="7" borderId="61" xfId="0" applyNumberFormat="1" applyFont="1" applyFill="1" applyBorder="1" applyAlignment="1" applyProtection="1">
      <alignment/>
      <protection hidden="1" locked="0"/>
    </xf>
    <xf numFmtId="0" fontId="33" fillId="7" borderId="62" xfId="0" applyFont="1" applyFill="1" applyBorder="1" applyAlignment="1" applyProtection="1">
      <alignment/>
      <protection hidden="1" locked="0"/>
    </xf>
    <xf numFmtId="0" fontId="33" fillId="8" borderId="63" xfId="0" applyFont="1" applyFill="1" applyBorder="1" applyAlignment="1" applyProtection="1">
      <alignment horizontal="center"/>
      <protection hidden="1" locked="0"/>
    </xf>
    <xf numFmtId="14" fontId="33" fillId="7" borderId="64" xfId="0" applyNumberFormat="1" applyFont="1" applyFill="1" applyBorder="1" applyAlignment="1" applyProtection="1">
      <alignment horizontal="center"/>
      <protection hidden="1" locked="0"/>
    </xf>
    <xf numFmtId="193" fontId="33" fillId="7" borderId="64" xfId="0" applyNumberFormat="1" applyFont="1" applyFill="1" applyBorder="1" applyAlignment="1" applyProtection="1">
      <alignment horizontal="right"/>
      <protection hidden="1" locked="0"/>
    </xf>
    <xf numFmtId="188" fontId="33" fillId="7" borderId="65" xfId="0" applyNumberFormat="1" applyFont="1" applyFill="1" applyBorder="1" applyAlignment="1" applyProtection="1">
      <alignment horizontal="right"/>
      <protection hidden="1" locked="0"/>
    </xf>
    <xf numFmtId="193" fontId="33" fillId="7" borderId="66" xfId="0" applyNumberFormat="1" applyFont="1" applyFill="1" applyBorder="1" applyAlignment="1" applyProtection="1">
      <alignment horizontal="right"/>
      <protection hidden="1" locked="0"/>
    </xf>
    <xf numFmtId="188" fontId="33" fillId="7" borderId="66" xfId="0" applyNumberFormat="1" applyFont="1" applyFill="1" applyBorder="1" applyAlignment="1" applyProtection="1">
      <alignment horizontal="right"/>
      <protection hidden="1" locked="0"/>
    </xf>
    <xf numFmtId="188" fontId="33" fillId="7" borderId="64" xfId="0" applyNumberFormat="1" applyFont="1" applyFill="1" applyBorder="1" applyAlignment="1" applyProtection="1">
      <alignment horizontal="right"/>
      <protection hidden="1" locked="0"/>
    </xf>
    <xf numFmtId="193" fontId="33" fillId="7" borderId="67" xfId="0" applyNumberFormat="1" applyFont="1" applyFill="1" applyBorder="1" applyAlignment="1" applyProtection="1">
      <alignment horizontal="right"/>
      <protection hidden="1" locked="0"/>
    </xf>
    <xf numFmtId="193" fontId="46" fillId="7" borderId="0" xfId="0" applyNumberFormat="1" applyFont="1" applyFill="1" applyBorder="1" applyAlignment="1" applyProtection="1">
      <alignment/>
      <protection hidden="1" locked="0"/>
    </xf>
    <xf numFmtId="14" fontId="35" fillId="7" borderId="0" xfId="42" applyNumberFormat="1" applyFont="1" applyFill="1" applyBorder="1" applyAlignment="1" applyProtection="1">
      <alignment wrapText="1"/>
      <protection hidden="1"/>
    </xf>
    <xf numFmtId="0" fontId="34" fillId="7" borderId="0" xfId="39" applyFont="1" applyFill="1" applyProtection="1">
      <alignment/>
      <protection hidden="1" locked="0"/>
    </xf>
    <xf numFmtId="0" fontId="34" fillId="7" borderId="0" xfId="39" applyFont="1" applyFill="1" applyProtection="1">
      <alignment/>
      <protection hidden="1"/>
    </xf>
    <xf numFmtId="1" fontId="34" fillId="7" borderId="0" xfId="39" applyNumberFormat="1" applyFont="1" applyFill="1" applyBorder="1" applyAlignment="1" applyProtection="1">
      <alignment/>
      <protection hidden="1" locked="0"/>
    </xf>
    <xf numFmtId="14" fontId="34" fillId="7" borderId="0" xfId="39" applyNumberFormat="1" applyFont="1" applyFill="1" applyProtection="1">
      <alignment/>
      <protection hidden="1" locked="0"/>
    </xf>
    <xf numFmtId="188" fontId="37" fillId="7" borderId="0" xfId="40" applyNumberFormat="1" applyFont="1" applyFill="1" applyBorder="1" applyAlignment="1" applyProtection="1">
      <alignment horizontal="right" vertical="top" wrapText="1"/>
      <protection hidden="1" locked="0"/>
    </xf>
    <xf numFmtId="188" fontId="37" fillId="7" borderId="0" xfId="0" applyNumberFormat="1" applyFont="1" applyFill="1" applyBorder="1" applyAlignment="1" applyProtection="1">
      <alignment horizontal="right" vertical="top"/>
      <protection hidden="1" locked="0"/>
    </xf>
    <xf numFmtId="188" fontId="34" fillId="7" borderId="1" xfId="39" applyNumberFormat="1" applyFont="1" applyFill="1" applyBorder="1" applyAlignment="1" applyProtection="1">
      <alignment/>
      <protection hidden="1" locked="0"/>
    </xf>
    <xf numFmtId="0" fontId="34" fillId="7" borderId="68" xfId="39" applyFont="1" applyFill="1" applyBorder="1" applyProtection="1">
      <alignment/>
      <protection hidden="1" locked="0"/>
    </xf>
    <xf numFmtId="0" fontId="34" fillId="7" borderId="2" xfId="39" applyFont="1" applyFill="1" applyBorder="1" applyProtection="1">
      <alignment/>
      <protection hidden="1" locked="0"/>
    </xf>
    <xf numFmtId="0" fontId="37" fillId="7" borderId="0" xfId="42" applyFont="1" applyFill="1" applyAlignment="1" applyProtection="1">
      <alignment/>
      <protection hidden="1" locked="0"/>
    </xf>
    <xf numFmtId="0" fontId="34" fillId="7" borderId="1" xfId="39" applyFont="1" applyFill="1" applyBorder="1" applyAlignment="1" applyProtection="1">
      <alignment/>
      <protection hidden="1" locked="0"/>
    </xf>
    <xf numFmtId="1" fontId="34" fillId="7" borderId="1" xfId="39" applyNumberFormat="1" applyFont="1" applyFill="1" applyBorder="1" applyAlignment="1" applyProtection="1">
      <alignment/>
      <protection hidden="1" locked="0"/>
    </xf>
    <xf numFmtId="0" fontId="34" fillId="7" borderId="68" xfId="38" applyFont="1" applyFill="1" applyBorder="1" applyProtection="1">
      <alignment/>
      <protection hidden="1" locked="0"/>
    </xf>
    <xf numFmtId="0" fontId="34" fillId="7" borderId="0" xfId="39" applyFont="1" applyFill="1" applyAlignment="1" applyProtection="1">
      <alignment/>
      <protection hidden="1" locked="0"/>
    </xf>
    <xf numFmtId="0" fontId="34" fillId="7" borderId="0" xfId="39" applyFont="1" applyFill="1" applyAlignment="1" applyProtection="1">
      <alignment horizontal="right"/>
      <protection hidden="1" locked="0"/>
    </xf>
    <xf numFmtId="2" fontId="34" fillId="7" borderId="0" xfId="39" applyNumberFormat="1" applyFont="1" applyFill="1" applyAlignment="1" applyProtection="1">
      <alignment horizontal="right" vertical="center" wrapText="1"/>
      <protection hidden="1" locked="0"/>
    </xf>
    <xf numFmtId="188" fontId="34" fillId="7" borderId="0" xfId="39" applyNumberFormat="1" applyFont="1" applyFill="1" applyBorder="1" applyAlignment="1" applyProtection="1">
      <alignment horizontal="right"/>
      <protection hidden="1" locked="0"/>
    </xf>
    <xf numFmtId="188" fontId="34" fillId="7" borderId="0" xfId="39" applyNumberFormat="1" applyFont="1" applyFill="1" applyProtection="1">
      <alignment/>
      <protection hidden="1" locked="0"/>
    </xf>
    <xf numFmtId="0" fontId="34" fillId="7" borderId="0" xfId="39" applyFont="1" applyFill="1" applyBorder="1" applyAlignment="1" applyProtection="1">
      <alignment/>
      <protection hidden="1"/>
    </xf>
    <xf numFmtId="3" fontId="48" fillId="7" borderId="28" xfId="40" applyFont="1" applyFill="1" applyBorder="1" applyAlignment="1" applyProtection="1">
      <alignment horizontal="center" vertical="top" wrapText="1"/>
      <protection hidden="1" locked="0"/>
    </xf>
    <xf numFmtId="3" fontId="48" fillId="7" borderId="24" xfId="40" applyFont="1" applyFill="1" applyBorder="1" applyAlignment="1" applyProtection="1">
      <alignment horizontal="justify" vertical="top" wrapText="1"/>
      <protection hidden="1" locked="0"/>
    </xf>
    <xf numFmtId="188" fontId="34" fillId="7" borderId="0" xfId="39" applyNumberFormat="1" applyFont="1" applyFill="1" applyBorder="1" applyAlignment="1" applyProtection="1">
      <alignment/>
      <protection hidden="1" locked="0"/>
    </xf>
    <xf numFmtId="3" fontId="48" fillId="7" borderId="5" xfId="40" applyFont="1" applyFill="1" applyBorder="1" applyAlignment="1" applyProtection="1">
      <alignment horizontal="center" vertical="top" wrapText="1"/>
      <protection hidden="1" locked="0"/>
    </xf>
    <xf numFmtId="3" fontId="48" fillId="7" borderId="69" xfId="40" applyFont="1" applyFill="1" applyBorder="1" applyAlignment="1" applyProtection="1">
      <alignment horizontal="justify" vertical="top" wrapText="1"/>
      <protection hidden="1" locked="0"/>
    </xf>
    <xf numFmtId="0" fontId="49" fillId="7" borderId="0" xfId="39" applyFont="1" applyFill="1" applyBorder="1" applyProtection="1">
      <alignment/>
      <protection hidden="1" locked="0"/>
    </xf>
    <xf numFmtId="188" fontId="34" fillId="7" borderId="70" xfId="39" applyNumberFormat="1" applyFont="1" applyFill="1" applyBorder="1" applyAlignment="1" applyProtection="1">
      <alignment horizontal="right"/>
      <protection hidden="1" locked="0"/>
    </xf>
    <xf numFmtId="0" fontId="50" fillId="7" borderId="0" xfId="39" applyFont="1" applyFill="1" applyProtection="1">
      <alignment/>
      <protection hidden="1"/>
    </xf>
    <xf numFmtId="0" fontId="50" fillId="7" borderId="0" xfId="39" applyFont="1" applyFill="1" applyProtection="1">
      <alignment/>
      <protection hidden="1" locked="0"/>
    </xf>
    <xf numFmtId="0" fontId="49" fillId="7" borderId="0" xfId="39" applyFont="1" applyFill="1" applyBorder="1" applyProtection="1">
      <alignment/>
      <protection hidden="1" locked="0"/>
    </xf>
    <xf numFmtId="0" fontId="50" fillId="7" borderId="71" xfId="39" applyFont="1" applyFill="1" applyBorder="1" applyAlignment="1" applyProtection="1">
      <alignment horizontal="center" vertical="center" wrapText="1"/>
      <protection hidden="1" locked="0"/>
    </xf>
    <xf numFmtId="0" fontId="50" fillId="7" borderId="72" xfId="39" applyFont="1" applyFill="1" applyBorder="1" applyAlignment="1" applyProtection="1">
      <alignment horizontal="center" vertical="center" wrapText="1"/>
      <protection hidden="1" locked="0"/>
    </xf>
    <xf numFmtId="0" fontId="51" fillId="7" borderId="0" xfId="39" applyFont="1" applyFill="1" applyBorder="1" applyProtection="1">
      <alignment/>
      <protection hidden="1" locked="0"/>
    </xf>
    <xf numFmtId="0" fontId="50" fillId="7" borderId="0" xfId="39" applyFont="1" applyFill="1" applyBorder="1" applyAlignment="1" applyProtection="1">
      <alignment/>
      <protection hidden="1" locked="0"/>
    </xf>
    <xf numFmtId="0" fontId="50" fillId="7" borderId="73" xfId="39" applyFont="1" applyFill="1" applyBorder="1" applyAlignment="1" applyProtection="1">
      <alignment horizontal="center" vertical="center" wrapText="1"/>
      <protection hidden="1" locked="0"/>
    </xf>
    <xf numFmtId="0" fontId="50" fillId="7" borderId="74" xfId="39" applyFont="1" applyFill="1" applyBorder="1" applyAlignment="1" applyProtection="1">
      <alignment horizontal="center" vertical="center" wrapText="1"/>
      <protection hidden="1" locked="0"/>
    </xf>
    <xf numFmtId="0" fontId="50" fillId="7" borderId="75" xfId="39" applyFont="1" applyFill="1" applyBorder="1" applyAlignment="1" applyProtection="1">
      <alignment horizontal="center" vertical="center" wrapText="1"/>
      <protection hidden="1" locked="0"/>
    </xf>
    <xf numFmtId="0" fontId="50" fillId="7" borderId="76" xfId="39" applyFont="1" applyFill="1" applyBorder="1" applyAlignment="1" applyProtection="1">
      <alignment horizontal="right" vertical="center" wrapText="1"/>
      <protection hidden="1" locked="0"/>
    </xf>
    <xf numFmtId="2" fontId="50" fillId="7" borderId="76" xfId="39" applyNumberFormat="1" applyFont="1" applyFill="1" applyBorder="1" applyAlignment="1" applyProtection="1">
      <alignment horizontal="right" vertical="center" wrapText="1"/>
      <protection hidden="1" locked="0"/>
    </xf>
    <xf numFmtId="2" fontId="50" fillId="7" borderId="77" xfId="39" applyNumberFormat="1" applyFont="1" applyFill="1" applyBorder="1" applyAlignment="1" applyProtection="1">
      <alignment horizontal="right" vertical="center" wrapText="1"/>
      <protection hidden="1" locked="0"/>
    </xf>
    <xf numFmtId="2" fontId="50" fillId="7" borderId="70" xfId="39" applyNumberFormat="1" applyFont="1" applyFill="1" applyBorder="1" applyAlignment="1" applyProtection="1">
      <alignment horizontal="right" vertical="center" wrapText="1"/>
      <protection hidden="1" locked="0"/>
    </xf>
    <xf numFmtId="0" fontId="50" fillId="7" borderId="0" xfId="39" applyFont="1" applyFill="1" applyAlignment="1" applyProtection="1">
      <alignment/>
      <protection hidden="1" locked="0"/>
    </xf>
    <xf numFmtId="0" fontId="50" fillId="7" borderId="0" xfId="39" applyFont="1" applyFill="1" applyBorder="1" applyAlignment="1" applyProtection="1">
      <alignment horizontal="center" vertical="center" wrapText="1"/>
      <protection hidden="1" locked="0"/>
    </xf>
    <xf numFmtId="0" fontId="50" fillId="7" borderId="0" xfId="39" applyFont="1" applyFill="1" applyBorder="1" applyAlignment="1" applyProtection="1">
      <alignment horizontal="right" vertical="center" wrapText="1"/>
      <protection hidden="1" locked="0"/>
    </xf>
    <xf numFmtId="2" fontId="50" fillId="7" borderId="0" xfId="39" applyNumberFormat="1" applyFont="1" applyFill="1" applyBorder="1" applyAlignment="1" applyProtection="1">
      <alignment horizontal="right" vertical="center" wrapText="1"/>
      <protection hidden="1" locked="0"/>
    </xf>
    <xf numFmtId="0" fontId="34" fillId="7" borderId="78" xfId="39" applyFont="1" applyFill="1" applyBorder="1" applyAlignment="1" applyProtection="1">
      <alignment horizontal="center" vertical="center" wrapText="1"/>
      <protection hidden="1" locked="0"/>
    </xf>
    <xf numFmtId="0" fontId="49" fillId="7" borderId="79" xfId="39" applyFont="1" applyFill="1" applyBorder="1" applyProtection="1">
      <alignment/>
      <protection hidden="1" locked="0"/>
    </xf>
    <xf numFmtId="0" fontId="49" fillId="7" borderId="5" xfId="0" applyFont="1" applyFill="1" applyBorder="1" applyAlignment="1" applyProtection="1">
      <alignment/>
      <protection hidden="1" locked="0"/>
    </xf>
    <xf numFmtId="188" fontId="34" fillId="7" borderId="80" xfId="39" applyNumberFormat="1" applyFont="1" applyFill="1" applyBorder="1" applyAlignment="1" applyProtection="1">
      <alignment horizontal="right"/>
      <protection hidden="1" locked="0"/>
    </xf>
    <xf numFmtId="188" fontId="34" fillId="7" borderId="79" xfId="39" applyNumberFormat="1" applyFont="1" applyFill="1" applyBorder="1" applyAlignment="1" applyProtection="1">
      <alignment horizontal="right" vertical="center" wrapText="1"/>
      <protection hidden="1" locked="0"/>
    </xf>
    <xf numFmtId="0" fontId="52" fillId="7" borderId="0" xfId="39" applyFont="1" applyFill="1" applyBorder="1" applyProtection="1">
      <alignment/>
      <protection hidden="1" locked="0"/>
    </xf>
    <xf numFmtId="0" fontId="53" fillId="7" borderId="0" xfId="39" applyFont="1" applyFill="1" applyBorder="1" applyAlignment="1" applyProtection="1">
      <alignment/>
      <protection hidden="1" locked="0"/>
    </xf>
    <xf numFmtId="0" fontId="34" fillId="7" borderId="81" xfId="39" applyFont="1" applyFill="1" applyBorder="1" applyAlignment="1" applyProtection="1">
      <alignment horizontal="center" vertical="center" wrapText="1"/>
      <protection hidden="1" locked="0"/>
    </xf>
    <xf numFmtId="0" fontId="49" fillId="7" borderId="82" xfId="39" applyFont="1" applyFill="1" applyBorder="1" applyProtection="1">
      <alignment/>
      <protection hidden="1" locked="0"/>
    </xf>
    <xf numFmtId="0" fontId="54" fillId="7" borderId="69" xfId="0" applyFont="1" applyFill="1" applyBorder="1" applyAlignment="1" applyProtection="1">
      <alignment/>
      <protection hidden="1" locked="0"/>
    </xf>
    <xf numFmtId="188" fontId="34" fillId="7" borderId="83" xfId="39" applyNumberFormat="1" applyFont="1" applyFill="1" applyBorder="1" applyAlignment="1" applyProtection="1">
      <alignment horizontal="right"/>
      <protection hidden="1" locked="0"/>
    </xf>
    <xf numFmtId="188" fontId="34" fillId="7" borderId="82" xfId="39" applyNumberFormat="1" applyFont="1" applyFill="1" applyBorder="1" applyAlignment="1" applyProtection="1">
      <alignment horizontal="right" vertical="center" wrapText="1"/>
      <protection hidden="1" locked="0"/>
    </xf>
    <xf numFmtId="0" fontId="34" fillId="7" borderId="84" xfId="39" applyFont="1" applyFill="1" applyBorder="1" applyAlignment="1" applyProtection="1">
      <alignment horizontal="center" vertical="center" wrapText="1"/>
      <protection hidden="1" locked="0"/>
    </xf>
    <xf numFmtId="0" fontId="49" fillId="7" borderId="85" xfId="39" applyFont="1" applyFill="1" applyBorder="1" applyProtection="1">
      <alignment/>
      <protection hidden="1" locked="0"/>
    </xf>
    <xf numFmtId="0" fontId="49" fillId="7" borderId="69" xfId="0" applyFont="1" applyFill="1" applyBorder="1" applyAlignment="1" applyProtection="1">
      <alignment/>
      <protection hidden="1" locked="0"/>
    </xf>
    <xf numFmtId="188" fontId="34" fillId="7" borderId="4" xfId="39" applyNumberFormat="1" applyFont="1" applyFill="1" applyBorder="1" applyAlignment="1" applyProtection="1">
      <alignment horizontal="right"/>
      <protection hidden="1" locked="0"/>
    </xf>
    <xf numFmtId="188" fontId="34" fillId="7" borderId="85" xfId="39" applyNumberFormat="1" applyFont="1" applyFill="1" applyBorder="1" applyAlignment="1" applyProtection="1">
      <alignment horizontal="right" vertical="center" wrapText="1"/>
      <protection hidden="1" locked="0"/>
    </xf>
    <xf numFmtId="0" fontId="34" fillId="7" borderId="86" xfId="39" applyFont="1" applyFill="1" applyBorder="1" applyAlignment="1" applyProtection="1">
      <alignment horizontal="center" vertical="center" wrapText="1"/>
      <protection hidden="1" locked="0"/>
    </xf>
    <xf numFmtId="0" fontId="49" fillId="7" borderId="87" xfId="39" applyFont="1" applyFill="1" applyBorder="1" applyProtection="1">
      <alignment/>
      <protection hidden="1" locked="0"/>
    </xf>
    <xf numFmtId="188" fontId="34" fillId="7" borderId="88" xfId="39" applyNumberFormat="1" applyFont="1" applyFill="1" applyBorder="1" applyAlignment="1" applyProtection="1">
      <alignment horizontal="right"/>
      <protection hidden="1" locked="0"/>
    </xf>
    <xf numFmtId="188" fontId="34" fillId="7" borderId="87" xfId="39" applyNumberFormat="1" applyFont="1" applyFill="1" applyBorder="1" applyAlignment="1" applyProtection="1">
      <alignment horizontal="right" vertical="center" wrapText="1"/>
      <protection hidden="1" locked="0"/>
    </xf>
    <xf numFmtId="0" fontId="34" fillId="7" borderId="81" xfId="39" applyFont="1" applyFill="1" applyBorder="1" applyAlignment="1" applyProtection="1">
      <alignment horizontal="center" vertical="center"/>
      <protection hidden="1" locked="0"/>
    </xf>
    <xf numFmtId="0" fontId="34" fillId="7" borderId="84" xfId="39" applyFont="1" applyFill="1" applyBorder="1" applyAlignment="1" applyProtection="1">
      <alignment horizontal="center" vertical="center"/>
      <protection hidden="1" locked="0"/>
    </xf>
    <xf numFmtId="0" fontId="34" fillId="7" borderId="86" xfId="39" applyFont="1" applyFill="1" applyBorder="1" applyAlignment="1" applyProtection="1">
      <alignment horizontal="center" vertical="center"/>
      <protection hidden="1" locked="0"/>
    </xf>
    <xf numFmtId="0" fontId="34" fillId="7" borderId="21" xfId="39" applyFont="1" applyFill="1" applyBorder="1" applyAlignment="1" applyProtection="1">
      <alignment horizontal="center" vertical="center"/>
      <protection hidden="1" locked="0"/>
    </xf>
    <xf numFmtId="0" fontId="49" fillId="7" borderId="69" xfId="39" applyFont="1" applyFill="1" applyBorder="1" applyProtection="1">
      <alignment/>
      <protection hidden="1" locked="0"/>
    </xf>
    <xf numFmtId="188" fontId="34" fillId="7" borderId="23" xfId="39" applyNumberFormat="1" applyFont="1" applyFill="1" applyBorder="1" applyAlignment="1" applyProtection="1">
      <alignment horizontal="right"/>
      <protection hidden="1" locked="0"/>
    </xf>
    <xf numFmtId="188" fontId="34" fillId="7" borderId="69" xfId="39" applyNumberFormat="1" applyFont="1" applyFill="1" applyBorder="1" applyAlignment="1" applyProtection="1">
      <alignment horizontal="right" vertical="center" wrapText="1"/>
      <protection hidden="1" locked="0"/>
    </xf>
    <xf numFmtId="188" fontId="34" fillId="7" borderId="82" xfId="39" applyNumberFormat="1" applyFont="1" applyFill="1" applyBorder="1" applyAlignment="1" applyProtection="1">
      <alignment horizontal="right"/>
      <protection hidden="1" locked="0"/>
    </xf>
    <xf numFmtId="188" fontId="34" fillId="7" borderId="85" xfId="39" applyNumberFormat="1" applyFont="1" applyFill="1" applyBorder="1" applyAlignment="1" applyProtection="1">
      <alignment horizontal="right"/>
      <protection hidden="1" locked="0"/>
    </xf>
    <xf numFmtId="188" fontId="34" fillId="7" borderId="87" xfId="39" applyNumberFormat="1" applyFont="1" applyFill="1" applyBorder="1" applyAlignment="1" applyProtection="1">
      <alignment horizontal="right"/>
      <protection hidden="1" locked="0"/>
    </xf>
    <xf numFmtId="188" fontId="34" fillId="7" borderId="4" xfId="39" applyNumberFormat="1" applyFont="1" applyFill="1" applyBorder="1" applyAlignment="1" applyProtection="1">
      <alignment horizontal="right" vertical="center" wrapText="1"/>
      <protection hidden="1" locked="0"/>
    </xf>
    <xf numFmtId="9" fontId="34" fillId="7" borderId="0" xfId="39" applyNumberFormat="1" applyFont="1" applyFill="1" applyAlignment="1" applyProtection="1">
      <alignment/>
      <protection hidden="1" locked="0"/>
    </xf>
    <xf numFmtId="188" fontId="34" fillId="7" borderId="83" xfId="39" applyNumberFormat="1" applyFont="1" applyFill="1" applyBorder="1" applyAlignment="1" applyProtection="1">
      <alignment horizontal="right" vertical="center" wrapText="1"/>
      <protection hidden="1" locked="0"/>
    </xf>
    <xf numFmtId="188" fontId="34" fillId="7" borderId="4" xfId="40" applyNumberFormat="1" applyFont="1" applyFill="1" applyBorder="1" applyAlignment="1" applyProtection="1">
      <alignment horizontal="right"/>
      <protection hidden="1" locked="0"/>
    </xf>
    <xf numFmtId="188" fontId="34" fillId="7" borderId="84" xfId="39" applyNumberFormat="1" applyFont="1" applyFill="1" applyBorder="1" applyAlignment="1" applyProtection="1">
      <alignment horizontal="right"/>
      <protection hidden="1" locked="0"/>
    </xf>
    <xf numFmtId="188" fontId="34" fillId="7" borderId="89" xfId="39" applyNumberFormat="1" applyFont="1" applyFill="1" applyBorder="1" applyAlignment="1" applyProtection="1">
      <alignment horizontal="right"/>
      <protection hidden="1" locked="0"/>
    </xf>
    <xf numFmtId="2" fontId="34" fillId="7" borderId="0" xfId="39" applyNumberFormat="1" applyFont="1" applyFill="1" applyAlignment="1" applyProtection="1">
      <alignment horizontal="right"/>
      <protection hidden="1" locked="0"/>
    </xf>
    <xf numFmtId="0" fontId="34" fillId="7" borderId="0" xfId="39" applyFont="1" applyFill="1" applyBorder="1" applyProtection="1">
      <alignment/>
      <protection hidden="1"/>
    </xf>
    <xf numFmtId="2" fontId="34" fillId="7" borderId="0" xfId="39" applyNumberFormat="1" applyFont="1" applyFill="1" applyBorder="1" applyAlignment="1" applyProtection="1">
      <alignment horizontal="right"/>
      <protection hidden="1"/>
    </xf>
    <xf numFmtId="2" fontId="34" fillId="7" borderId="0" xfId="39" applyNumberFormat="1" applyFont="1" applyFill="1" applyAlignment="1" applyProtection="1">
      <alignment horizontal="right" vertical="center" wrapText="1"/>
      <protection hidden="1"/>
    </xf>
    <xf numFmtId="188" fontId="34" fillId="7" borderId="0" xfId="39" applyNumberFormat="1" applyFont="1" applyFill="1" applyBorder="1" applyAlignment="1" applyProtection="1">
      <alignment horizontal="right"/>
      <protection hidden="1"/>
    </xf>
    <xf numFmtId="0" fontId="49" fillId="7" borderId="0" xfId="39" applyFont="1" applyFill="1" applyBorder="1" applyProtection="1">
      <alignment/>
      <protection hidden="1"/>
    </xf>
    <xf numFmtId="0" fontId="34" fillId="7" borderId="0" xfId="39" applyFont="1" applyFill="1" applyAlignment="1" applyProtection="1">
      <alignment/>
      <protection hidden="1"/>
    </xf>
    <xf numFmtId="2" fontId="34" fillId="7" borderId="0" xfId="39" applyNumberFormat="1" applyFont="1" applyFill="1" applyAlignment="1" applyProtection="1">
      <alignment horizontal="right"/>
      <protection hidden="1"/>
    </xf>
    <xf numFmtId="0" fontId="24" fillId="7" borderId="0" xfId="39" applyFont="1" applyFill="1" applyBorder="1" applyAlignment="1" applyProtection="1">
      <alignment horizontal="center"/>
      <protection hidden="1"/>
    </xf>
    <xf numFmtId="0" fontId="33" fillId="7" borderId="0" xfId="42" applyFont="1" applyFill="1" applyProtection="1">
      <alignment/>
      <protection hidden="1"/>
    </xf>
    <xf numFmtId="191" fontId="34" fillId="7" borderId="0" xfId="42" applyNumberFormat="1" applyFont="1" applyFill="1" applyProtection="1">
      <alignment/>
      <protection hidden="1"/>
    </xf>
    <xf numFmtId="188" fontId="34" fillId="7" borderId="0" xfId="39" applyNumberFormat="1" applyFont="1" applyFill="1" applyBorder="1" applyAlignment="1" applyProtection="1">
      <alignment/>
      <protection hidden="1"/>
    </xf>
    <xf numFmtId="0" fontId="33" fillId="7" borderId="0" xfId="42" applyFont="1" applyFill="1" applyBorder="1" applyAlignment="1" applyProtection="1">
      <alignment/>
      <protection hidden="1"/>
    </xf>
    <xf numFmtId="188" fontId="34" fillId="7" borderId="0" xfId="39" applyNumberFormat="1" applyFont="1" applyFill="1" applyBorder="1" applyAlignment="1" applyProtection="1" quotePrefix="1">
      <alignment horizontal="right"/>
      <protection hidden="1"/>
    </xf>
    <xf numFmtId="188" fontId="55" fillId="7" borderId="0" xfId="39" applyNumberFormat="1" applyFont="1" applyFill="1" applyBorder="1" applyAlignment="1" applyProtection="1">
      <alignment/>
      <protection hidden="1"/>
    </xf>
    <xf numFmtId="3" fontId="56" fillId="7" borderId="0" xfId="40" applyFont="1" applyFill="1" applyBorder="1" applyAlignment="1" applyProtection="1">
      <alignment horizontal="left"/>
      <protection hidden="1"/>
    </xf>
    <xf numFmtId="188" fontId="55" fillId="7" borderId="0" xfId="39" applyNumberFormat="1" applyFont="1" applyFill="1" applyBorder="1" applyAlignment="1" applyProtection="1">
      <alignment/>
      <protection hidden="1"/>
    </xf>
    <xf numFmtId="0" fontId="49" fillId="7" borderId="0" xfId="39" applyFont="1" applyFill="1" applyBorder="1" applyProtection="1" quotePrefix="1">
      <alignment/>
      <protection hidden="1"/>
    </xf>
    <xf numFmtId="195" fontId="34" fillId="7" borderId="0" xfId="39" applyNumberFormat="1" applyFont="1" applyFill="1" applyBorder="1" applyAlignment="1" applyProtection="1">
      <alignment horizontal="right"/>
      <protection hidden="1"/>
    </xf>
    <xf numFmtId="194" fontId="34" fillId="7" borderId="0" xfId="39" applyNumberFormat="1" applyFont="1" applyFill="1" applyBorder="1" applyAlignment="1" applyProtection="1">
      <alignment horizontal="right"/>
      <protection hidden="1"/>
    </xf>
    <xf numFmtId="41" fontId="33" fillId="7" borderId="0" xfId="42" applyNumberFormat="1" applyFont="1" applyFill="1" applyProtection="1">
      <alignment/>
      <protection hidden="1"/>
    </xf>
    <xf numFmtId="0" fontId="34" fillId="7" borderId="0" xfId="39" applyFont="1" applyFill="1" applyAlignment="1" applyProtection="1">
      <alignment horizontal="right"/>
      <protection hidden="1"/>
    </xf>
    <xf numFmtId="10" fontId="34" fillId="7" borderId="0" xfId="39" applyNumberFormat="1" applyFont="1" applyFill="1" applyAlignment="1" applyProtection="1">
      <alignment horizontal="right" vertical="center" wrapText="1"/>
      <protection hidden="1"/>
    </xf>
    <xf numFmtId="0" fontId="37" fillId="7" borderId="0" xfId="39" applyFont="1" applyFill="1" applyAlignment="1" applyProtection="1">
      <alignment/>
      <protection hidden="1"/>
    </xf>
    <xf numFmtId="0" fontId="34" fillId="7" borderId="0" xfId="42" applyFont="1" applyFill="1" applyAlignment="1" applyProtection="1">
      <alignment horizontal="center"/>
      <protection hidden="1"/>
    </xf>
    <xf numFmtId="14" fontId="57" fillId="7" borderId="0" xfId="42" applyNumberFormat="1" applyFont="1" applyFill="1" applyBorder="1" applyAlignment="1" applyProtection="1">
      <alignment wrapText="1"/>
      <protection hidden="1"/>
    </xf>
    <xf numFmtId="14" fontId="57" fillId="7" borderId="0" xfId="42" applyNumberFormat="1" applyFont="1" applyFill="1" applyBorder="1" applyAlignment="1" applyProtection="1">
      <alignment horizontal="right" wrapText="1"/>
      <protection hidden="1"/>
    </xf>
    <xf numFmtId="14" fontId="57" fillId="7" borderId="0" xfId="42" applyNumberFormat="1" applyFont="1" applyFill="1" applyBorder="1" applyAlignment="1" applyProtection="1">
      <alignment/>
      <protection hidden="1"/>
    </xf>
    <xf numFmtId="0" fontId="37" fillId="7" borderId="90" xfId="39" applyFont="1" applyFill="1" applyBorder="1" applyAlignment="1" applyProtection="1">
      <alignment horizontal="center" vertical="center"/>
      <protection hidden="1"/>
    </xf>
    <xf numFmtId="0" fontId="34" fillId="7" borderId="0" xfId="42" applyFont="1" applyFill="1" applyAlignment="1" applyProtection="1">
      <alignment horizontal="right"/>
      <protection hidden="1"/>
    </xf>
    <xf numFmtId="0" fontId="34" fillId="7" borderId="0" xfId="39" applyFont="1" applyFill="1" applyBorder="1" applyAlignment="1" applyProtection="1">
      <alignment horizontal="right"/>
      <protection hidden="1"/>
    </xf>
    <xf numFmtId="0" fontId="34" fillId="7" borderId="0" xfId="42" applyFont="1" applyFill="1" applyAlignment="1" applyProtection="1">
      <alignment/>
      <protection hidden="1"/>
    </xf>
    <xf numFmtId="0" fontId="34" fillId="7" borderId="0" xfId="42" applyFont="1" applyFill="1" applyBorder="1" applyAlignment="1" applyProtection="1">
      <alignment horizontal="center"/>
      <protection hidden="1"/>
    </xf>
    <xf numFmtId="0" fontId="34" fillId="7" borderId="0" xfId="42" applyFont="1" applyFill="1" applyBorder="1" applyAlignment="1" applyProtection="1">
      <alignment horizontal="right"/>
      <protection hidden="1"/>
    </xf>
    <xf numFmtId="188" fontId="34" fillId="7" borderId="0" xfId="39" applyNumberFormat="1" applyFont="1" applyFill="1" applyBorder="1" applyAlignment="1" applyProtection="1">
      <alignment/>
      <protection hidden="1"/>
    </xf>
    <xf numFmtId="193" fontId="37" fillId="7" borderId="5" xfId="39" applyNumberFormat="1" applyFont="1" applyFill="1" applyBorder="1" applyAlignment="1" applyProtection="1">
      <alignment/>
      <protection hidden="1"/>
    </xf>
    <xf numFmtId="193" fontId="37" fillId="7" borderId="87" xfId="39" applyNumberFormat="1" applyFont="1" applyFill="1" applyBorder="1" applyAlignment="1" applyProtection="1">
      <alignment/>
      <protection hidden="1"/>
    </xf>
    <xf numFmtId="193" fontId="37" fillId="7" borderId="91" xfId="39" applyNumberFormat="1" applyFont="1" applyFill="1" applyBorder="1" applyAlignment="1" applyProtection="1">
      <alignment/>
      <protection hidden="1"/>
    </xf>
    <xf numFmtId="193" fontId="37" fillId="7" borderId="79" xfId="39" applyNumberFormat="1" applyFont="1" applyFill="1" applyBorder="1" applyAlignment="1" applyProtection="1">
      <alignment/>
      <protection hidden="1"/>
    </xf>
    <xf numFmtId="0" fontId="37" fillId="7" borderId="90" xfId="39" applyFont="1" applyFill="1" applyBorder="1" applyAlignment="1" applyProtection="1">
      <alignment horizontal="center" vertical="center" wrapText="1"/>
      <protection hidden="1"/>
    </xf>
    <xf numFmtId="0" fontId="37" fillId="7" borderId="0" xfId="39" applyFont="1" applyFill="1" applyAlignment="1" applyProtection="1">
      <alignment horizontal="right"/>
      <protection hidden="1"/>
    </xf>
    <xf numFmtId="0" fontId="49" fillId="7" borderId="0" xfId="39" applyFont="1" applyFill="1" applyProtection="1">
      <alignment/>
      <protection hidden="1"/>
    </xf>
    <xf numFmtId="0" fontId="37" fillId="7" borderId="1" xfId="42" applyFont="1" applyFill="1" applyBorder="1" applyAlignment="1" applyProtection="1">
      <alignment horizontal="center"/>
      <protection hidden="1"/>
    </xf>
    <xf numFmtId="0" fontId="37" fillId="7" borderId="1" xfId="39" applyFont="1" applyFill="1" applyBorder="1" applyAlignment="1" applyProtection="1">
      <alignment horizontal="center"/>
      <protection hidden="1"/>
    </xf>
    <xf numFmtId="193" fontId="37" fillId="7" borderId="92" xfId="39" applyNumberFormat="1" applyFont="1" applyFill="1" applyBorder="1" applyAlignment="1" applyProtection="1">
      <alignment horizontal="right"/>
      <protection hidden="1"/>
    </xf>
    <xf numFmtId="193" fontId="37" fillId="7" borderId="93" xfId="39" applyNumberFormat="1" applyFont="1" applyFill="1" applyBorder="1" applyAlignment="1" applyProtection="1">
      <alignment horizontal="right"/>
      <protection hidden="1"/>
    </xf>
    <xf numFmtId="193" fontId="37" fillId="7" borderId="25" xfId="39" applyNumberFormat="1" applyFont="1" applyFill="1" applyBorder="1" applyAlignment="1" applyProtection="1">
      <alignment horizontal="right"/>
      <protection hidden="1"/>
    </xf>
    <xf numFmtId="193" fontId="37" fillId="7" borderId="5" xfId="39" applyNumberFormat="1" applyFont="1" applyFill="1" applyBorder="1" applyAlignment="1" applyProtection="1">
      <alignment horizontal="right"/>
      <protection hidden="1"/>
    </xf>
    <xf numFmtId="188" fontId="37" fillId="7" borderId="28" xfId="39" applyNumberFormat="1" applyFont="1" applyFill="1" applyBorder="1" applyAlignment="1" applyProtection="1">
      <alignment horizontal="right" vertical="top"/>
      <protection hidden="1"/>
    </xf>
    <xf numFmtId="193" fontId="37" fillId="7" borderId="80" xfId="39" applyNumberFormat="1" applyFont="1" applyFill="1" applyBorder="1" applyAlignment="1" applyProtection="1">
      <alignment horizontal="right"/>
      <protection hidden="1"/>
    </xf>
    <xf numFmtId="193" fontId="37" fillId="7" borderId="78" xfId="39" applyNumberFormat="1" applyFont="1" applyFill="1" applyBorder="1" applyAlignment="1" applyProtection="1">
      <alignment horizontal="right"/>
      <protection hidden="1"/>
    </xf>
    <xf numFmtId="193" fontId="37" fillId="7" borderId="79" xfId="39" applyNumberFormat="1" applyFont="1" applyFill="1" applyBorder="1" applyAlignment="1" applyProtection="1">
      <alignment horizontal="right"/>
      <protection hidden="1"/>
    </xf>
    <xf numFmtId="188" fontId="37" fillId="7" borderId="94" xfId="39" applyNumberFormat="1" applyFont="1" applyFill="1" applyBorder="1" applyAlignment="1" applyProtection="1">
      <alignment horizontal="right" vertical="top"/>
      <protection hidden="1"/>
    </xf>
    <xf numFmtId="193" fontId="37" fillId="7" borderId="4" xfId="39" applyNumberFormat="1" applyFont="1" applyFill="1" applyBorder="1" applyAlignment="1" applyProtection="1">
      <alignment horizontal="right"/>
      <protection hidden="1"/>
    </xf>
    <xf numFmtId="193" fontId="37" fillId="7" borderId="84" xfId="39" applyNumberFormat="1" applyFont="1" applyFill="1" applyBorder="1" applyAlignment="1" applyProtection="1">
      <alignment horizontal="right"/>
      <protection hidden="1"/>
    </xf>
    <xf numFmtId="193" fontId="37" fillId="7" borderId="85" xfId="39" applyNumberFormat="1" applyFont="1" applyFill="1" applyBorder="1" applyAlignment="1" applyProtection="1">
      <alignment horizontal="right"/>
      <protection hidden="1"/>
    </xf>
    <xf numFmtId="8" fontId="37" fillId="7" borderId="89" xfId="39" applyNumberFormat="1" applyFont="1" applyFill="1" applyBorder="1" applyAlignment="1" applyProtection="1">
      <alignment/>
      <protection hidden="1"/>
    </xf>
    <xf numFmtId="193" fontId="37" fillId="7" borderId="88" xfId="39" applyNumberFormat="1" applyFont="1" applyFill="1" applyBorder="1" applyAlignment="1" applyProtection="1">
      <alignment horizontal="right"/>
      <protection hidden="1"/>
    </xf>
    <xf numFmtId="193" fontId="37" fillId="7" borderId="86" xfId="39" applyNumberFormat="1" applyFont="1" applyFill="1" applyBorder="1" applyAlignment="1" applyProtection="1">
      <alignment horizontal="right"/>
      <protection hidden="1"/>
    </xf>
    <xf numFmtId="193" fontId="37" fillId="7" borderId="87" xfId="39" applyNumberFormat="1" applyFont="1" applyFill="1" applyBorder="1" applyAlignment="1" applyProtection="1">
      <alignment horizontal="right"/>
      <protection hidden="1"/>
    </xf>
    <xf numFmtId="188" fontId="37" fillId="7" borderId="95" xfId="39" applyNumberFormat="1" applyFont="1" applyFill="1" applyBorder="1" applyAlignment="1" applyProtection="1">
      <alignment horizontal="right" vertical="top"/>
      <protection hidden="1"/>
    </xf>
    <xf numFmtId="193" fontId="37" fillId="7" borderId="91" xfId="39" applyNumberFormat="1" applyFont="1" applyFill="1" applyBorder="1" applyAlignment="1" applyProtection="1">
      <alignment horizontal="right"/>
      <protection hidden="1"/>
    </xf>
    <xf numFmtId="193" fontId="37" fillId="7" borderId="10" xfId="39" applyNumberFormat="1" applyFont="1" applyFill="1" applyBorder="1" applyAlignment="1" applyProtection="1">
      <alignment horizontal="right"/>
      <protection hidden="1"/>
    </xf>
    <xf numFmtId="193" fontId="37" fillId="7" borderId="12" xfId="39" applyNumberFormat="1" applyFont="1" applyFill="1" applyBorder="1" applyAlignment="1" applyProtection="1">
      <alignment horizontal="right"/>
      <protection hidden="1"/>
    </xf>
    <xf numFmtId="188" fontId="37" fillId="7" borderId="69" xfId="39" applyNumberFormat="1" applyFont="1" applyFill="1" applyBorder="1" applyAlignment="1" applyProtection="1">
      <alignment horizontal="right" vertical="top"/>
      <protection hidden="1"/>
    </xf>
    <xf numFmtId="188" fontId="37" fillId="7" borderId="79" xfId="39" applyNumberFormat="1" applyFont="1" applyFill="1" applyBorder="1" applyAlignment="1" applyProtection="1">
      <alignment horizontal="right" vertical="top"/>
      <protection hidden="1"/>
    </xf>
    <xf numFmtId="188" fontId="34" fillId="7" borderId="0" xfId="39" applyNumberFormat="1" applyFont="1" applyFill="1" applyBorder="1" applyAlignment="1" applyProtection="1">
      <alignment horizontal="left"/>
      <protection hidden="1"/>
    </xf>
    <xf numFmtId="0" fontId="24" fillId="7" borderId="91" xfId="0" applyFont="1" applyFill="1" applyBorder="1" applyAlignment="1" applyProtection="1">
      <alignment/>
      <protection hidden="1"/>
    </xf>
    <xf numFmtId="0" fontId="24" fillId="7" borderId="96" xfId="0" applyFont="1" applyFill="1" applyBorder="1" applyAlignment="1" applyProtection="1">
      <alignment/>
      <protection hidden="1"/>
    </xf>
    <xf numFmtId="0" fontId="24" fillId="7" borderId="97" xfId="0" applyFont="1" applyFill="1" applyBorder="1" applyAlignment="1" applyProtection="1">
      <alignment/>
      <protection hidden="1"/>
    </xf>
    <xf numFmtId="0" fontId="33" fillId="7" borderId="0" xfId="0" applyFont="1" applyFill="1" applyBorder="1" applyAlignment="1" applyProtection="1">
      <alignment/>
      <protection hidden="1"/>
    </xf>
    <xf numFmtId="0" fontId="24" fillId="7" borderId="0" xfId="0" applyFont="1" applyFill="1" applyBorder="1" applyAlignment="1" applyProtection="1">
      <alignment/>
      <protection hidden="1"/>
    </xf>
    <xf numFmtId="0" fontId="24" fillId="7" borderId="0" xfId="0" applyFont="1" applyFill="1" applyBorder="1" applyAlignment="1" applyProtection="1">
      <alignment/>
      <protection hidden="1"/>
    </xf>
    <xf numFmtId="0" fontId="24" fillId="7" borderId="10" xfId="0" applyFont="1" applyFill="1" applyBorder="1" applyAlignment="1" applyProtection="1">
      <alignment/>
      <protection hidden="1"/>
    </xf>
    <xf numFmtId="165" fontId="24" fillId="7" borderId="1" xfId="0" applyNumberFormat="1" applyFont="1" applyFill="1" applyBorder="1" applyAlignment="1" applyProtection="1">
      <alignment/>
      <protection hidden="1"/>
    </xf>
    <xf numFmtId="0" fontId="24" fillId="7" borderId="11" xfId="0" applyFont="1" applyFill="1" applyBorder="1" applyAlignment="1" applyProtection="1">
      <alignment/>
      <protection hidden="1"/>
    </xf>
    <xf numFmtId="0" fontId="33" fillId="7" borderId="10" xfId="0" applyFont="1" applyFill="1" applyBorder="1" applyAlignment="1" applyProtection="1">
      <alignment/>
      <protection hidden="1"/>
    </xf>
    <xf numFmtId="0" fontId="33" fillId="7" borderId="1" xfId="0" applyFont="1" applyFill="1" applyBorder="1" applyAlignment="1" applyProtection="1">
      <alignment horizontal="center" vertical="center" wrapText="1"/>
      <protection hidden="1"/>
    </xf>
    <xf numFmtId="0" fontId="33" fillId="7" borderId="11" xfId="0" applyFont="1" applyFill="1" applyBorder="1" applyAlignment="1" applyProtection="1">
      <alignment horizontal="center" vertical="center" wrapText="1"/>
      <protection hidden="1"/>
    </xf>
    <xf numFmtId="0" fontId="33" fillId="7" borderId="28" xfId="0" applyFont="1" applyFill="1" applyBorder="1" applyAlignment="1" applyProtection="1">
      <alignment horizontal="center" vertical="center" wrapText="1"/>
      <protection hidden="1"/>
    </xf>
    <xf numFmtId="0" fontId="33" fillId="7" borderId="27" xfId="0" applyFont="1" applyFill="1" applyBorder="1" applyAlignment="1" applyProtection="1">
      <alignment horizontal="center" vertical="center" wrapText="1"/>
      <protection hidden="1"/>
    </xf>
    <xf numFmtId="0" fontId="33" fillId="7" borderId="5" xfId="0" applyFont="1" applyFill="1" applyBorder="1" applyAlignment="1" applyProtection="1">
      <alignment horizontal="center" vertical="center" wrapText="1"/>
      <protection hidden="1"/>
    </xf>
    <xf numFmtId="0" fontId="33" fillId="7" borderId="1" xfId="0" applyFont="1" applyFill="1" applyBorder="1" applyAlignment="1" applyProtection="1">
      <alignment/>
      <protection hidden="1"/>
    </xf>
    <xf numFmtId="0" fontId="33" fillId="7" borderId="11" xfId="0" applyFont="1" applyFill="1" applyBorder="1" applyAlignment="1" applyProtection="1">
      <alignment/>
      <protection hidden="1"/>
    </xf>
    <xf numFmtId="0" fontId="24" fillId="7" borderId="10" xfId="0" applyFont="1" applyFill="1" applyBorder="1" applyAlignment="1" applyProtection="1">
      <alignment horizontal="center"/>
      <protection hidden="1"/>
    </xf>
    <xf numFmtId="0" fontId="33" fillId="7" borderId="1" xfId="0" applyFont="1" applyFill="1" applyBorder="1" applyAlignment="1" applyProtection="1">
      <alignment horizontal="center"/>
      <protection hidden="1"/>
    </xf>
    <xf numFmtId="0" fontId="24" fillId="7" borderId="94" xfId="0" applyFont="1" applyFill="1" applyBorder="1" applyAlignment="1" applyProtection="1">
      <alignment horizontal="center"/>
      <protection hidden="1"/>
    </xf>
    <xf numFmtId="9" fontId="33" fillId="7" borderId="94" xfId="0" applyNumberFormat="1" applyFont="1" applyFill="1" applyBorder="1" applyAlignment="1" applyProtection="1">
      <alignment horizontal="center"/>
      <protection hidden="1"/>
    </xf>
    <xf numFmtId="0" fontId="33" fillId="7" borderId="98" xfId="0" applyFont="1" applyFill="1" applyBorder="1" applyAlignment="1" applyProtection="1">
      <alignment horizontal="center"/>
      <protection hidden="1"/>
    </xf>
    <xf numFmtId="172" fontId="34" fillId="7" borderId="99" xfId="0" applyNumberFormat="1" applyFont="1" applyFill="1" applyBorder="1" applyAlignment="1" applyProtection="1">
      <alignment horizontal="center"/>
      <protection hidden="1"/>
    </xf>
    <xf numFmtId="0" fontId="24" fillId="7" borderId="89" xfId="0" applyFont="1" applyFill="1" applyBorder="1" applyAlignment="1" applyProtection="1">
      <alignment horizontal="center"/>
      <protection hidden="1"/>
    </xf>
    <xf numFmtId="9" fontId="33" fillId="7" borderId="89" xfId="0" applyNumberFormat="1" applyFont="1" applyFill="1" applyBorder="1" applyAlignment="1" applyProtection="1">
      <alignment horizontal="center"/>
      <protection hidden="1"/>
    </xf>
    <xf numFmtId="0" fontId="33" fillId="7" borderId="100" xfId="0" applyFont="1" applyFill="1" applyBorder="1" applyAlignment="1" applyProtection="1">
      <alignment horizontal="center"/>
      <protection hidden="1"/>
    </xf>
    <xf numFmtId="172" fontId="34" fillId="7" borderId="101" xfId="0" applyNumberFormat="1" applyFont="1" applyFill="1" applyBorder="1" applyAlignment="1" applyProtection="1">
      <alignment horizontal="center"/>
      <protection hidden="1"/>
    </xf>
    <xf numFmtId="0" fontId="33" fillId="7" borderId="11" xfId="0" applyFont="1" applyFill="1" applyBorder="1" applyAlignment="1" applyProtection="1">
      <alignment horizontal="center"/>
      <protection hidden="1"/>
    </xf>
    <xf numFmtId="0" fontId="33" fillId="7" borderId="102" xfId="0" applyFont="1" applyFill="1" applyBorder="1" applyAlignment="1" applyProtection="1">
      <alignment horizontal="center"/>
      <protection hidden="1"/>
    </xf>
    <xf numFmtId="172" fontId="33" fillId="7" borderId="103" xfId="0" applyNumberFormat="1" applyFont="1" applyFill="1" applyBorder="1" applyAlignment="1" applyProtection="1">
      <alignment horizontal="center"/>
      <protection hidden="1"/>
    </xf>
    <xf numFmtId="0" fontId="24" fillId="7" borderId="12" xfId="0" applyFont="1" applyFill="1" applyBorder="1" applyAlignment="1" applyProtection="1">
      <alignment horizontal="center"/>
      <protection hidden="1"/>
    </xf>
    <xf numFmtId="0" fontId="33" fillId="7" borderId="13" xfId="0" applyFont="1" applyFill="1" applyBorder="1" applyAlignment="1" applyProtection="1">
      <alignment horizontal="center"/>
      <protection hidden="1"/>
    </xf>
    <xf numFmtId="0" fontId="33" fillId="7" borderId="14" xfId="0" applyFont="1" applyFill="1" applyBorder="1" applyAlignment="1" applyProtection="1">
      <alignment horizontal="center"/>
      <protection hidden="1"/>
    </xf>
    <xf numFmtId="0" fontId="24" fillId="7" borderId="95" xfId="0" applyFont="1" applyFill="1" applyBorder="1" applyAlignment="1" applyProtection="1">
      <alignment horizontal="center"/>
      <protection hidden="1"/>
    </xf>
    <xf numFmtId="9" fontId="33" fillId="7" borderId="95" xfId="0" applyNumberFormat="1" applyFont="1" applyFill="1" applyBorder="1" applyAlignment="1" applyProtection="1">
      <alignment horizontal="center"/>
      <protection hidden="1"/>
    </xf>
    <xf numFmtId="0" fontId="24" fillId="7" borderId="0" xfId="0" applyFont="1" applyFill="1" applyAlignment="1" applyProtection="1">
      <alignment/>
      <protection hidden="1"/>
    </xf>
    <xf numFmtId="0" fontId="60" fillId="7" borderId="0" xfId="0" applyFont="1" applyFill="1" applyAlignment="1">
      <alignment/>
    </xf>
    <xf numFmtId="0" fontId="33" fillId="7" borderId="0" xfId="0" applyFont="1" applyFill="1" applyAlignment="1">
      <alignment/>
    </xf>
    <xf numFmtId="0" fontId="0" fillId="7" borderId="0" xfId="0" applyFill="1" applyAlignment="1">
      <alignment/>
    </xf>
    <xf numFmtId="0" fontId="32" fillId="7" borderId="0" xfId="0" applyFont="1" applyFill="1" applyAlignment="1">
      <alignment horizontal="center"/>
    </xf>
    <xf numFmtId="0" fontId="39" fillId="0" borderId="0" xfId="37" applyFont="1" applyFill="1" applyProtection="1">
      <alignment/>
      <protection hidden="1" locked="0"/>
    </xf>
    <xf numFmtId="0" fontId="33" fillId="0" borderId="0" xfId="37" applyFont="1" applyFill="1" applyProtection="1">
      <alignment/>
      <protection hidden="1" locked="0"/>
    </xf>
    <xf numFmtId="0" fontId="24" fillId="0" borderId="0" xfId="37" applyFont="1" applyFill="1" applyProtection="1">
      <alignment/>
      <protection hidden="1" locked="0"/>
    </xf>
    <xf numFmtId="0" fontId="33" fillId="0" borderId="0" xfId="37" applyFont="1" applyFill="1" applyProtection="1">
      <alignment/>
      <protection hidden="1"/>
    </xf>
    <xf numFmtId="0" fontId="33" fillId="0" borderId="0" xfId="37" applyFont="1" applyFill="1" applyAlignment="1" applyProtection="1">
      <alignment horizontal="right"/>
      <protection hidden="1" locked="0"/>
    </xf>
    <xf numFmtId="186" fontId="33" fillId="0" borderId="0" xfId="32" applyNumberFormat="1" applyFont="1" applyFill="1" applyBorder="1" applyAlignment="1" applyProtection="1">
      <alignment/>
      <protection hidden="1" locked="0"/>
    </xf>
    <xf numFmtId="10" fontId="33" fillId="0" borderId="0" xfId="37" applyNumberFormat="1" applyFont="1" applyFill="1" applyProtection="1">
      <alignment/>
      <protection hidden="1" locked="0"/>
    </xf>
    <xf numFmtId="186" fontId="33" fillId="0" borderId="0" xfId="37" applyNumberFormat="1" applyFont="1" applyFill="1" applyProtection="1">
      <alignment/>
      <protection hidden="1" locked="0"/>
    </xf>
    <xf numFmtId="9" fontId="33" fillId="0" borderId="0" xfId="37" applyNumberFormat="1" applyFont="1" applyFill="1" applyProtection="1">
      <alignment/>
      <protection hidden="1" locked="0"/>
    </xf>
    <xf numFmtId="3" fontId="58" fillId="0" borderId="0" xfId="41" applyFont="1" applyFill="1" applyProtection="1">
      <alignment/>
      <protection hidden="1" locked="0"/>
    </xf>
    <xf numFmtId="3" fontId="58" fillId="0" borderId="0" xfId="41" applyFont="1" applyFill="1" applyProtection="1">
      <alignment/>
      <protection hidden="1"/>
    </xf>
    <xf numFmtId="3" fontId="58" fillId="0" borderId="0" xfId="41" applyFont="1" applyFill="1" applyAlignment="1" applyProtection="1">
      <alignment horizontal="center"/>
      <protection hidden="1" locked="0"/>
    </xf>
    <xf numFmtId="193" fontId="59" fillId="0" borderId="0" xfId="41" applyNumberFormat="1" applyFont="1" applyFill="1" applyProtection="1">
      <alignment/>
      <protection hidden="1" locked="0"/>
    </xf>
    <xf numFmtId="0" fontId="33" fillId="0" borderId="0" xfId="37" applyFont="1" applyFill="1" applyBorder="1" applyProtection="1">
      <alignment/>
      <protection hidden="1"/>
    </xf>
    <xf numFmtId="186" fontId="0" fillId="9" borderId="0" xfId="37" applyNumberFormat="1" applyFill="1" applyProtection="1">
      <alignment/>
      <protection hidden="1" locked="0"/>
    </xf>
    <xf numFmtId="185" fontId="0" fillId="10" borderId="96" xfId="37" applyNumberFormat="1" applyFill="1" applyBorder="1" applyProtection="1">
      <alignment/>
      <protection hidden="1" locked="0"/>
    </xf>
    <xf numFmtId="185" fontId="0" fillId="10" borderId="1" xfId="37" applyNumberFormat="1" applyFill="1" applyBorder="1" applyProtection="1">
      <alignment/>
      <protection hidden="1" locked="0"/>
    </xf>
    <xf numFmtId="185" fontId="0" fillId="10" borderId="13" xfId="37" applyNumberFormat="1" applyFill="1" applyBorder="1" applyProtection="1">
      <alignment/>
      <protection hidden="1" locked="0"/>
    </xf>
    <xf numFmtId="186" fontId="0" fillId="0" borderId="0" xfId="32" applyNumberFormat="1" applyFont="1" applyBorder="1" applyAlignment="1" applyProtection="1">
      <alignment/>
      <protection hidden="1" locked="0"/>
    </xf>
    <xf numFmtId="171" fontId="0" fillId="0" borderId="0" xfId="37" applyNumberFormat="1" applyProtection="1">
      <alignment/>
      <protection hidden="1" locked="0"/>
    </xf>
    <xf numFmtId="38" fontId="0" fillId="10" borderId="97" xfId="33" applyFill="1" applyBorder="1" applyAlignment="1" applyProtection="1">
      <alignment/>
      <protection hidden="1" locked="0"/>
    </xf>
    <xf numFmtId="185" fontId="0" fillId="11" borderId="96" xfId="37" applyNumberFormat="1" applyFill="1" applyBorder="1" applyProtection="1">
      <alignment/>
      <protection hidden="1" locked="0"/>
    </xf>
    <xf numFmtId="3" fontId="10" fillId="0" borderId="0" xfId="41" applyAlignment="1" applyProtection="1">
      <alignment horizontal="center"/>
      <protection hidden="1" locked="0"/>
    </xf>
    <xf numFmtId="3" fontId="10" fillId="0" borderId="0" xfId="41" applyProtection="1">
      <alignment/>
      <protection hidden="1" locked="0"/>
    </xf>
    <xf numFmtId="0" fontId="0" fillId="0" borderId="0" xfId="37" applyProtection="1">
      <alignment/>
      <protection hidden="1" locked="0"/>
    </xf>
    <xf numFmtId="188" fontId="10" fillId="10" borderId="0" xfId="41" applyNumberFormat="1" applyFill="1" applyAlignment="1" applyProtection="1">
      <alignment horizontal="right"/>
      <protection hidden="1" locked="0"/>
    </xf>
    <xf numFmtId="188" fontId="0" fillId="10" borderId="0" xfId="37" applyNumberFormat="1" applyFill="1" applyAlignment="1" applyProtection="1">
      <alignment horizontal="right"/>
      <protection hidden="1" locked="0"/>
    </xf>
    <xf numFmtId="3" fontId="10" fillId="10" borderId="0" xfId="41" applyFill="1" applyProtection="1">
      <alignment/>
      <protection hidden="1" locked="0"/>
    </xf>
    <xf numFmtId="0" fontId="61" fillId="0" borderId="0" xfId="37" applyFont="1" applyProtection="1">
      <alignment/>
      <protection hidden="1" locked="0"/>
    </xf>
    <xf numFmtId="0" fontId="62" fillId="0" borderId="0" xfId="37" applyFont="1" applyBorder="1" applyAlignment="1" applyProtection="1">
      <alignment horizontal="centerContinuous" vertical="center"/>
      <protection hidden="1" locked="0"/>
    </xf>
    <xf numFmtId="0" fontId="63" fillId="0" borderId="0" xfId="37" applyFont="1" applyBorder="1" applyAlignment="1" applyProtection="1">
      <alignment horizontal="centerContinuous" vertical="center"/>
      <protection hidden="1" locked="0"/>
    </xf>
    <xf numFmtId="4" fontId="0" fillId="0" borderId="0" xfId="37" applyNumberFormat="1" applyProtection="1">
      <alignment/>
      <protection hidden="1" locked="0"/>
    </xf>
    <xf numFmtId="0" fontId="63" fillId="0" borderId="0" xfId="37" applyFont="1" applyBorder="1" applyAlignment="1" applyProtection="1">
      <alignment horizontal="right"/>
      <protection hidden="1" locked="0"/>
    </xf>
    <xf numFmtId="41" fontId="63" fillId="0" borderId="0" xfId="32" applyFont="1" applyBorder="1" applyAlignment="1" applyProtection="1">
      <alignment/>
      <protection hidden="1" locked="0"/>
    </xf>
    <xf numFmtId="0" fontId="63" fillId="0" borderId="0" xfId="37" applyFont="1" applyBorder="1" applyProtection="1">
      <alignment/>
      <protection hidden="1" locked="0"/>
    </xf>
    <xf numFmtId="188" fontId="0" fillId="0" borderId="0" xfId="37" applyNumberFormat="1" applyProtection="1">
      <alignment/>
      <protection hidden="1" locked="0"/>
    </xf>
    <xf numFmtId="0" fontId="0" fillId="10" borderId="91" xfId="37" applyFill="1" applyBorder="1" applyProtection="1">
      <alignment/>
      <protection hidden="1" locked="0"/>
    </xf>
    <xf numFmtId="0" fontId="0" fillId="10" borderId="6" xfId="37" applyFill="1" applyBorder="1" applyProtection="1">
      <alignment/>
      <protection hidden="1" locked="0"/>
    </xf>
    <xf numFmtId="0" fontId="0" fillId="10" borderId="104" xfId="37" applyFill="1" applyBorder="1" applyProtection="1">
      <alignment/>
      <protection hidden="1" locked="0"/>
    </xf>
    <xf numFmtId="0" fontId="0" fillId="10" borderId="10" xfId="37" applyFill="1" applyBorder="1" applyProtection="1">
      <alignment/>
      <protection hidden="1" locked="0"/>
    </xf>
    <xf numFmtId="0" fontId="0" fillId="10" borderId="68" xfId="37" applyFill="1" applyBorder="1" applyProtection="1">
      <alignment/>
      <protection hidden="1" locked="0"/>
    </xf>
    <xf numFmtId="0" fontId="0" fillId="10" borderId="2" xfId="37" applyFill="1" applyBorder="1" applyProtection="1">
      <alignment/>
      <protection hidden="1" locked="0"/>
    </xf>
    <xf numFmtId="0" fontId="0" fillId="10" borderId="12" xfId="37" applyFill="1" applyBorder="1" applyProtection="1">
      <alignment/>
      <protection hidden="1" locked="0"/>
    </xf>
    <xf numFmtId="0" fontId="0" fillId="10" borderId="105" xfId="37" applyFill="1" applyBorder="1" applyProtection="1">
      <alignment/>
      <protection hidden="1" locked="0"/>
    </xf>
    <xf numFmtId="0" fontId="0" fillId="10" borderId="106" xfId="37" applyFill="1" applyBorder="1" applyProtection="1">
      <alignment/>
      <protection hidden="1" locked="0"/>
    </xf>
    <xf numFmtId="0" fontId="0" fillId="11" borderId="91" xfId="37" applyFill="1" applyBorder="1" applyProtection="1">
      <alignment/>
      <protection hidden="1" locked="0"/>
    </xf>
    <xf numFmtId="0" fontId="0" fillId="11" borderId="96" xfId="37" applyFill="1" applyBorder="1" applyProtection="1">
      <alignment/>
      <protection hidden="1" locked="0"/>
    </xf>
    <xf numFmtId="0" fontId="0" fillId="11" borderId="10" xfId="37" applyFill="1" applyBorder="1" applyProtection="1">
      <alignment/>
      <protection hidden="1" locked="0"/>
    </xf>
    <xf numFmtId="0" fontId="0" fillId="11" borderId="1" xfId="37" applyFill="1" applyBorder="1" applyProtection="1">
      <alignment/>
      <protection hidden="1" locked="0"/>
    </xf>
    <xf numFmtId="185" fontId="0" fillId="11" borderId="1" xfId="37" applyNumberFormat="1" applyFill="1" applyBorder="1" applyProtection="1">
      <alignment/>
      <protection hidden="1" locked="0"/>
    </xf>
    <xf numFmtId="0" fontId="0" fillId="11" borderId="21" xfId="37" applyFill="1" applyBorder="1" applyProtection="1">
      <alignment/>
      <protection hidden="1" locked="0"/>
    </xf>
    <xf numFmtId="0" fontId="0" fillId="11" borderId="13" xfId="37" applyFill="1" applyBorder="1" applyProtection="1">
      <alignment/>
      <protection hidden="1" locked="0"/>
    </xf>
    <xf numFmtId="185" fontId="0" fillId="11" borderId="23" xfId="37" applyNumberFormat="1" applyFill="1" applyBorder="1" applyProtection="1">
      <alignment/>
      <protection hidden="1" locked="0"/>
    </xf>
    <xf numFmtId="0" fontId="0" fillId="11" borderId="80" xfId="37" applyFill="1" applyBorder="1" applyProtection="1">
      <alignment/>
      <protection hidden="1" locked="0"/>
    </xf>
    <xf numFmtId="171" fontId="0" fillId="11" borderId="96" xfId="37" applyNumberFormat="1" applyFill="1" applyBorder="1" applyProtection="1">
      <alignment/>
      <protection hidden="1" locked="0"/>
    </xf>
    <xf numFmtId="0" fontId="0" fillId="11" borderId="104" xfId="37" applyFont="1" applyFill="1" applyBorder="1" applyProtection="1">
      <alignment/>
      <protection hidden="1" locked="0"/>
    </xf>
    <xf numFmtId="171" fontId="0" fillId="11" borderId="1" xfId="37" applyNumberFormat="1" applyFill="1" applyBorder="1" applyProtection="1">
      <alignment/>
      <protection hidden="1" locked="0"/>
    </xf>
    <xf numFmtId="0" fontId="0" fillId="11" borderId="2" xfId="37" applyFont="1" applyFill="1" applyBorder="1" applyProtection="1">
      <alignment/>
      <protection hidden="1" locked="0"/>
    </xf>
    <xf numFmtId="0" fontId="0" fillId="11" borderId="106" xfId="37" applyFont="1" applyFill="1" applyBorder="1" applyProtection="1">
      <alignment/>
      <protection hidden="1" locked="0"/>
    </xf>
    <xf numFmtId="0" fontId="0" fillId="11" borderId="12" xfId="37" applyFill="1" applyBorder="1" applyProtection="1">
      <alignment/>
      <protection hidden="1" locked="0"/>
    </xf>
    <xf numFmtId="0" fontId="0" fillId="0" borderId="18" xfId="37" applyBorder="1" applyProtection="1">
      <alignment/>
      <protection hidden="1" locked="0"/>
    </xf>
    <xf numFmtId="171" fontId="0" fillId="11" borderId="14" xfId="37" applyNumberFormat="1" applyFill="1" applyBorder="1" applyProtection="1">
      <alignment/>
      <protection hidden="1" locked="0"/>
    </xf>
    <xf numFmtId="0" fontId="0" fillId="0" borderId="0" xfId="37" applyFont="1" applyBorder="1" applyProtection="1">
      <alignment/>
      <protection hidden="1" locked="0"/>
    </xf>
    <xf numFmtId="0" fontId="0" fillId="0" borderId="0" xfId="37" applyBorder="1" applyProtection="1">
      <alignment/>
      <protection hidden="1" locked="0"/>
    </xf>
    <xf numFmtId="0" fontId="3" fillId="0" borderId="0" xfId="37" applyFont="1" applyProtection="1">
      <alignment/>
      <protection hidden="1" locked="0"/>
    </xf>
    <xf numFmtId="0" fontId="0" fillId="11" borderId="97" xfId="37" applyFill="1" applyBorder="1" applyProtection="1">
      <alignment/>
      <protection hidden="1" locked="0"/>
    </xf>
    <xf numFmtId="0" fontId="0" fillId="10" borderId="80" xfId="37" applyFill="1" applyBorder="1" applyProtection="1">
      <alignment/>
      <protection hidden="1" locked="0"/>
    </xf>
    <xf numFmtId="171" fontId="0" fillId="10" borderId="96" xfId="37" applyNumberFormat="1" applyFill="1" applyBorder="1" applyProtection="1">
      <alignment/>
      <protection hidden="1" locked="0"/>
    </xf>
    <xf numFmtId="0" fontId="0" fillId="10" borderId="104" xfId="37" applyFont="1" applyFill="1" applyBorder="1" applyProtection="1">
      <alignment/>
      <protection hidden="1" locked="0"/>
    </xf>
    <xf numFmtId="171" fontId="0" fillId="10" borderId="1" xfId="37" applyNumberFormat="1" applyFill="1" applyBorder="1" applyProtection="1">
      <alignment/>
      <protection hidden="1" locked="0"/>
    </xf>
    <xf numFmtId="0" fontId="0" fillId="10" borderId="2" xfId="37" applyFont="1" applyFill="1" applyBorder="1" applyProtection="1">
      <alignment/>
      <protection hidden="1" locked="0"/>
    </xf>
    <xf numFmtId="0" fontId="0" fillId="10" borderId="106" xfId="37" applyFont="1" applyFill="1" applyBorder="1" applyProtection="1">
      <alignment/>
      <protection hidden="1" locked="0"/>
    </xf>
    <xf numFmtId="38" fontId="0" fillId="10" borderId="106" xfId="33" applyFill="1" applyBorder="1" applyAlignment="1" applyProtection="1">
      <alignment/>
      <protection hidden="1" locked="0"/>
    </xf>
    <xf numFmtId="0" fontId="0" fillId="0" borderId="18" xfId="37" applyFill="1" applyBorder="1" applyProtection="1">
      <alignment/>
      <protection hidden="1" locked="0"/>
    </xf>
    <xf numFmtId="171" fontId="0" fillId="10" borderId="14" xfId="37" applyNumberFormat="1" applyFill="1" applyBorder="1" applyProtection="1">
      <alignment/>
      <protection hidden="1" locked="0"/>
    </xf>
    <xf numFmtId="0" fontId="0" fillId="0" borderId="0" xfId="37" applyFill="1" applyProtection="1">
      <alignment/>
      <protection hidden="1" locked="0"/>
    </xf>
    <xf numFmtId="0" fontId="62" fillId="0" borderId="0" xfId="37" applyFont="1" applyBorder="1" applyAlignment="1" applyProtection="1">
      <alignment horizontal="center" vertical="center"/>
      <protection hidden="1" locked="0"/>
    </xf>
    <xf numFmtId="0" fontId="0" fillId="0" borderId="0" xfId="37" applyFont="1" applyAlignment="1" applyProtection="1">
      <alignment horizontal="right"/>
      <protection hidden="1" locked="0"/>
    </xf>
    <xf numFmtId="0" fontId="0" fillId="0" borderId="0" xfId="37" applyAlignment="1" applyProtection="1">
      <alignment horizontal="right"/>
      <protection hidden="1" locked="0"/>
    </xf>
    <xf numFmtId="3" fontId="10" fillId="0" borderId="0" xfId="41" applyAlignment="1" applyProtection="1">
      <alignment horizontal="center"/>
      <protection hidden="1" locked="0"/>
    </xf>
    <xf numFmtId="0" fontId="31" fillId="6" borderId="107" xfId="0" applyFont="1" applyFill="1" applyBorder="1" applyAlignment="1">
      <alignment horizontal="left" vertical="top" wrapText="1"/>
    </xf>
    <xf numFmtId="0" fontId="31" fillId="6" borderId="0" xfId="0" applyFont="1" applyFill="1" applyBorder="1" applyAlignment="1">
      <alignment horizontal="left" vertical="top" wrapText="1"/>
    </xf>
    <xf numFmtId="0" fontId="31" fillId="6" borderId="108" xfId="0" applyFont="1" applyFill="1" applyBorder="1" applyAlignment="1">
      <alignment horizontal="left" vertical="top" wrapText="1"/>
    </xf>
    <xf numFmtId="0" fontId="31" fillId="6" borderId="109" xfId="0" applyFont="1" applyFill="1" applyBorder="1" applyAlignment="1">
      <alignment horizontal="left" vertical="top" wrapText="1"/>
    </xf>
    <xf numFmtId="0" fontId="31" fillId="6" borderId="110" xfId="0" applyFont="1" applyFill="1" applyBorder="1" applyAlignment="1">
      <alignment horizontal="left" vertical="top" wrapText="1"/>
    </xf>
    <xf numFmtId="0" fontId="31" fillId="6" borderId="111" xfId="0" applyFont="1" applyFill="1" applyBorder="1" applyAlignment="1">
      <alignment horizontal="left" vertical="top" wrapText="1"/>
    </xf>
    <xf numFmtId="0" fontId="27" fillId="4" borderId="29" xfId="0" applyFont="1" applyFill="1" applyBorder="1" applyAlignment="1" applyProtection="1">
      <alignment horizontal="justify" wrapText="1"/>
      <protection hidden="1"/>
    </xf>
    <xf numFmtId="0" fontId="27" fillId="4" borderId="0" xfId="0" applyFont="1" applyFill="1" applyBorder="1" applyAlignment="1" applyProtection="1">
      <alignment horizontal="justify" wrapText="1"/>
      <protection hidden="1"/>
    </xf>
    <xf numFmtId="0" fontId="27" fillId="4" borderId="30" xfId="0" applyFont="1" applyFill="1" applyBorder="1" applyAlignment="1" applyProtection="1">
      <alignment horizontal="justify" wrapText="1"/>
      <protection hidden="1"/>
    </xf>
    <xf numFmtId="0" fontId="31" fillId="6" borderId="34" xfId="0" applyFont="1" applyFill="1" applyBorder="1" applyAlignment="1">
      <alignment horizontal="left" vertical="top" wrapText="1"/>
    </xf>
    <xf numFmtId="0" fontId="31" fillId="6" borderId="35" xfId="0" applyFont="1" applyFill="1" applyBorder="1" applyAlignment="1">
      <alignment horizontal="left" vertical="top" wrapText="1"/>
    </xf>
    <xf numFmtId="0" fontId="27" fillId="4" borderId="0" xfId="0" applyFont="1" applyFill="1" applyBorder="1" applyAlignment="1" applyProtection="1">
      <alignment horizontal="left" wrapText="1"/>
      <protection hidden="1"/>
    </xf>
    <xf numFmtId="0" fontId="31" fillId="6" borderId="37" xfId="0" applyFont="1" applyFill="1" applyBorder="1" applyAlignment="1">
      <alignment horizontal="left" vertical="top" wrapText="1"/>
    </xf>
    <xf numFmtId="0" fontId="31" fillId="6" borderId="112" xfId="0" applyFont="1" applyFill="1" applyBorder="1" applyAlignment="1">
      <alignment horizontal="left" vertical="top" wrapText="1"/>
    </xf>
    <xf numFmtId="0" fontId="30" fillId="6" borderId="31" xfId="0" applyFont="1" applyFill="1" applyBorder="1" applyAlignment="1">
      <alignment horizontal="center" vertical="top" wrapText="1"/>
    </xf>
    <xf numFmtId="0" fontId="30" fillId="6" borderId="32" xfId="0" applyFont="1" applyFill="1" applyBorder="1" applyAlignment="1">
      <alignment horizontal="center" vertical="top" wrapText="1"/>
    </xf>
    <xf numFmtId="0" fontId="30" fillId="6" borderId="37" xfId="0" applyFont="1" applyFill="1" applyBorder="1" applyAlignment="1">
      <alignment horizontal="center" vertical="top" wrapText="1"/>
    </xf>
    <xf numFmtId="0" fontId="30" fillId="6" borderId="112" xfId="0" applyFont="1" applyFill="1" applyBorder="1" applyAlignment="1">
      <alignment horizontal="center" vertical="top" wrapText="1"/>
    </xf>
    <xf numFmtId="0" fontId="30" fillId="6" borderId="17" xfId="0" applyFont="1" applyFill="1" applyBorder="1" applyAlignment="1" applyProtection="1">
      <alignment horizontal="center" wrapText="1"/>
      <protection hidden="1"/>
    </xf>
    <xf numFmtId="0" fontId="30" fillId="6" borderId="19" xfId="0" applyFont="1" applyFill="1" applyBorder="1" applyAlignment="1" applyProtection="1">
      <alignment horizontal="center"/>
      <protection hidden="1"/>
    </xf>
    <xf numFmtId="0" fontId="30" fillId="6" borderId="20" xfId="0" applyFont="1" applyFill="1" applyBorder="1" applyAlignment="1" applyProtection="1">
      <alignment horizontal="center"/>
      <protection hidden="1"/>
    </xf>
    <xf numFmtId="0" fontId="30" fillId="6" borderId="29" xfId="0" applyFont="1" applyFill="1" applyBorder="1" applyAlignment="1" applyProtection="1">
      <alignment horizontal="center"/>
      <protection hidden="1"/>
    </xf>
    <xf numFmtId="0" fontId="30" fillId="6" borderId="0" xfId="0" applyFont="1" applyFill="1" applyBorder="1" applyAlignment="1" applyProtection="1">
      <alignment horizontal="center"/>
      <protection hidden="1"/>
    </xf>
    <xf numFmtId="0" fontId="30" fillId="6" borderId="30" xfId="0" applyFont="1" applyFill="1" applyBorder="1" applyAlignment="1" applyProtection="1">
      <alignment horizontal="center"/>
      <protection hidden="1"/>
    </xf>
    <xf numFmtId="0" fontId="31" fillId="6" borderId="113" xfId="0" applyFont="1" applyFill="1" applyBorder="1" applyAlignment="1">
      <alignment horizontal="left" vertical="top" wrapText="1"/>
    </xf>
    <xf numFmtId="0" fontId="31" fillId="6" borderId="114" xfId="0" applyFont="1" applyFill="1" applyBorder="1" applyAlignment="1">
      <alignment horizontal="left" vertical="top" wrapText="1"/>
    </xf>
    <xf numFmtId="0" fontId="30" fillId="6" borderId="33" xfId="0" applyFont="1" applyFill="1" applyBorder="1" applyAlignment="1">
      <alignment horizontal="center" wrapText="1"/>
    </xf>
    <xf numFmtId="0" fontId="30" fillId="6" borderId="40" xfId="0" applyFont="1" applyFill="1" applyBorder="1" applyAlignment="1">
      <alignment horizontal="center" wrapText="1"/>
    </xf>
    <xf numFmtId="0" fontId="0" fillId="4" borderId="17" xfId="0" applyFont="1" applyFill="1" applyBorder="1" applyAlignment="1" applyProtection="1">
      <alignment horizontal="center"/>
      <protection hidden="1"/>
    </xf>
    <xf numFmtId="0" fontId="0" fillId="4" borderId="19" xfId="0" applyFont="1" applyFill="1" applyBorder="1" applyAlignment="1" applyProtection="1">
      <alignment horizontal="center"/>
      <protection hidden="1"/>
    </xf>
    <xf numFmtId="0" fontId="0" fillId="4" borderId="20" xfId="0" applyFont="1" applyFill="1" applyBorder="1" applyAlignment="1" applyProtection="1">
      <alignment horizontal="center"/>
      <protection hidden="1"/>
    </xf>
    <xf numFmtId="0" fontId="26" fillId="4" borderId="21" xfId="0" applyFont="1" applyFill="1" applyBorder="1" applyAlignment="1" applyProtection="1">
      <alignment horizontal="justify" wrapText="1"/>
      <protection hidden="1"/>
    </xf>
    <xf numFmtId="0" fontId="26" fillId="4" borderId="23" xfId="0" applyFont="1" applyFill="1" applyBorder="1" applyAlignment="1" applyProtection="1">
      <alignment horizontal="justify" wrapText="1"/>
      <protection hidden="1"/>
    </xf>
    <xf numFmtId="0" fontId="26" fillId="4" borderId="24" xfId="0" applyFont="1" applyFill="1" applyBorder="1" applyAlignment="1" applyProtection="1">
      <alignment horizontal="justify" wrapText="1"/>
      <protection hidden="1"/>
    </xf>
    <xf numFmtId="0" fontId="4" fillId="4" borderId="17" xfId="0" applyFont="1" applyFill="1" applyBorder="1" applyAlignment="1" applyProtection="1">
      <alignment horizontal="center" vertical="center" wrapText="1"/>
      <protection hidden="1"/>
    </xf>
    <xf numFmtId="0" fontId="0" fillId="4" borderId="19" xfId="0" applyFont="1" applyFill="1" applyBorder="1" applyAlignment="1" applyProtection="1">
      <alignment/>
      <protection hidden="1"/>
    </xf>
    <xf numFmtId="0" fontId="0" fillId="4" borderId="20" xfId="0" applyFont="1" applyFill="1" applyBorder="1" applyAlignment="1" applyProtection="1">
      <alignment/>
      <protection hidden="1"/>
    </xf>
    <xf numFmtId="0" fontId="24" fillId="7" borderId="0" xfId="0" applyFont="1" applyFill="1" applyAlignment="1" applyProtection="1">
      <alignment horizontal="center"/>
      <protection hidden="1" locked="0"/>
    </xf>
  </cellXfs>
  <cellStyles count="41">
    <cellStyle name="Normal" xfId="0"/>
    <cellStyle name="Bold 11" xfId="15"/>
    <cellStyle name="calcolato" xfId="16"/>
    <cellStyle name="Collegamento ipertestuale" xfId="17"/>
    <cellStyle name="Collegamento ipertestuale visitato" xfId="18"/>
    <cellStyle name="Collegamento ipertestuale_Maschera Pensione " xfId="19"/>
    <cellStyle name="Comma [0]_~TXN2041" xfId="20"/>
    <cellStyle name="Comma_~TXN2041" xfId="21"/>
    <cellStyle name="Currency [0]_~TXN2041" xfId="22"/>
    <cellStyle name="Currency_~TXN2041" xfId="23"/>
    <cellStyle name="Date" xfId="24"/>
    <cellStyle name="default" xfId="25"/>
    <cellStyle name="Euro" xfId="26"/>
    <cellStyle name="grigio" xfId="27"/>
    <cellStyle name="input" xfId="28"/>
    <cellStyle name="Comma" xfId="29"/>
    <cellStyle name="Migliaia (0)_Configurazione Apparati di Rete" xfId="30"/>
    <cellStyle name="Comma [0]" xfId="31"/>
    <cellStyle name="Migliaia [0]_APP2000_2" xfId="32"/>
    <cellStyle name="Migliaia [0]_Paga2003_11OK" xfId="33"/>
    <cellStyle name="Month" xfId="34"/>
    <cellStyle name="Normal 11" xfId="35"/>
    <cellStyle name="Normal_~TXN2041" xfId="36"/>
    <cellStyle name="Normale_APP2000_2" xfId="37"/>
    <cellStyle name="Normale_Cartel1" xfId="38"/>
    <cellStyle name="Normale_EDR" xfId="39"/>
    <cellStyle name="Normale_Maschera Pensione " xfId="40"/>
    <cellStyle name="Normale_Paga2003_11OK" xfId="41"/>
    <cellStyle name="Normale_Pensione2000+tfr Roberto2000_2" xfId="42"/>
    <cellStyle name="Percent 1" xfId="43"/>
    <cellStyle name="Percent 2" xfId="44"/>
    <cellStyle name="Percent_Account Detail" xfId="45"/>
    <cellStyle name="Percent" xfId="46"/>
    <cellStyle name="Sum" xfId="47"/>
    <cellStyle name="Sum %of HV" xfId="48"/>
    <cellStyle name="tabelle" xfId="49"/>
    <cellStyle name="Underline 2" xfId="50"/>
    <cellStyle name="Currency" xfId="51"/>
    <cellStyle name="Valuta (0)_5B72Eyy4tOWzil8gw0aN1ZYTT" xfId="52"/>
    <cellStyle name="Currency [0]" xfId="53"/>
    <cellStyle name="Year" xfId="54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F9900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FF7C80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9</xdr:row>
      <xdr:rowOff>0</xdr:rowOff>
    </xdr:from>
    <xdr:to>
      <xdr:col>10</xdr:col>
      <xdr:colOff>485775</xdr:colOff>
      <xdr:row>19</xdr:row>
      <xdr:rowOff>0</xdr:rowOff>
    </xdr:to>
    <xdr:sp macro="[0]!Pulsante266_Clic">
      <xdr:nvSpPr>
        <xdr:cNvPr id="1" name="AutoShape 21"/>
        <xdr:cNvSpPr>
          <a:spLocks/>
        </xdr:cNvSpPr>
      </xdr:nvSpPr>
      <xdr:spPr>
        <a:xfrm>
          <a:off x="1533525" y="1457325"/>
          <a:ext cx="5048250" cy="1619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Personale Gruppo FS
Calcolo dell'Assegno Personale Pensionabile 2007
(14^ mensilità)</a:t>
          </a:r>
        </a:p>
      </xdr:txBody>
    </xdr:sp>
    <xdr:clientData/>
  </xdr:twoCellAnchor>
  <xdr:twoCellAnchor>
    <xdr:from>
      <xdr:col>8</xdr:col>
      <xdr:colOff>600075</xdr:colOff>
      <xdr:row>25</xdr:row>
      <xdr:rowOff>133350</xdr:rowOff>
    </xdr:from>
    <xdr:to>
      <xdr:col>14</xdr:col>
      <xdr:colOff>114300</xdr:colOff>
      <xdr:row>30</xdr:row>
      <xdr:rowOff>66675</xdr:rowOff>
    </xdr:to>
    <xdr:sp>
      <xdr:nvSpPr>
        <xdr:cNvPr id="2" name="AutoShape 22"/>
        <xdr:cNvSpPr>
          <a:spLocks/>
        </xdr:cNvSpPr>
      </xdr:nvSpPr>
      <xdr:spPr>
        <a:xfrm>
          <a:off x="5476875" y="4181475"/>
          <a:ext cx="3171825" cy="7429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 cura di 
Roberto SPADINO
Segretario Compartimentale OrSA BARI</a:t>
          </a:r>
        </a:p>
      </xdr:txBody>
    </xdr:sp>
    <xdr:clientData/>
  </xdr:twoCellAnchor>
  <xdr:twoCellAnchor editAs="oneCell">
    <xdr:from>
      <xdr:col>0</xdr:col>
      <xdr:colOff>123825</xdr:colOff>
      <xdr:row>21</xdr:row>
      <xdr:rowOff>28575</xdr:rowOff>
    </xdr:from>
    <xdr:to>
      <xdr:col>1</xdr:col>
      <xdr:colOff>419100</xdr:colOff>
      <xdr:row>31</xdr:row>
      <xdr:rowOff>9525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429000"/>
          <a:ext cx="904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</xdr:row>
      <xdr:rowOff>38100</xdr:rowOff>
    </xdr:from>
    <xdr:to>
      <xdr:col>10</xdr:col>
      <xdr:colOff>533400</xdr:colOff>
      <xdr:row>6</xdr:row>
      <xdr:rowOff>66675</xdr:rowOff>
    </xdr:to>
    <xdr:sp macro="[0]!Pulsante266_Clic">
      <xdr:nvSpPr>
        <xdr:cNvPr id="4" name="AutoShape 27"/>
        <xdr:cNvSpPr>
          <a:spLocks/>
        </xdr:cNvSpPr>
      </xdr:nvSpPr>
      <xdr:spPr>
        <a:xfrm>
          <a:off x="1524000" y="361950"/>
          <a:ext cx="510540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4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Or.S.A. Ferrovie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15</xdr:row>
      <xdr:rowOff>38100</xdr:rowOff>
    </xdr:from>
    <xdr:to>
      <xdr:col>2</xdr:col>
      <xdr:colOff>28575</xdr:colOff>
      <xdr:row>15</xdr:row>
      <xdr:rowOff>38100</xdr:rowOff>
    </xdr:to>
    <xdr:sp>
      <xdr:nvSpPr>
        <xdr:cNvPr id="1" name="Line 233"/>
        <xdr:cNvSpPr>
          <a:spLocks/>
        </xdr:cNvSpPr>
      </xdr:nvSpPr>
      <xdr:spPr>
        <a:xfrm flipH="1">
          <a:off x="85725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32</xdr:row>
      <xdr:rowOff>38100</xdr:rowOff>
    </xdr:from>
    <xdr:to>
      <xdr:col>6</xdr:col>
      <xdr:colOff>28575</xdr:colOff>
      <xdr:row>32</xdr:row>
      <xdr:rowOff>38100</xdr:rowOff>
    </xdr:to>
    <xdr:sp>
      <xdr:nvSpPr>
        <xdr:cNvPr id="2" name="Line 268"/>
        <xdr:cNvSpPr>
          <a:spLocks/>
        </xdr:cNvSpPr>
      </xdr:nvSpPr>
      <xdr:spPr>
        <a:xfrm flipH="1">
          <a:off x="142875" y="12573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38100</xdr:rowOff>
    </xdr:from>
    <xdr:to>
      <xdr:col>6</xdr:col>
      <xdr:colOff>28575</xdr:colOff>
      <xdr:row>33</xdr:row>
      <xdr:rowOff>38100</xdr:rowOff>
    </xdr:to>
    <xdr:sp>
      <xdr:nvSpPr>
        <xdr:cNvPr id="3" name="Line 269"/>
        <xdr:cNvSpPr>
          <a:spLocks/>
        </xdr:cNvSpPr>
      </xdr:nvSpPr>
      <xdr:spPr>
        <a:xfrm flipH="1">
          <a:off x="142875" y="1295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28575</xdr:colOff>
      <xdr:row>23</xdr:row>
      <xdr:rowOff>38100</xdr:rowOff>
    </xdr:from>
    <xdr:to>
      <xdr:col>36</xdr:col>
      <xdr:colOff>0</xdr:colOff>
      <xdr:row>60</xdr:row>
      <xdr:rowOff>9525</xdr:rowOff>
    </xdr:to>
    <xdr:pic macro="[0]!Pulsante266_Clic">
      <xdr:nvPicPr>
        <xdr:cNvPr id="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14400"/>
          <a:ext cx="714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47625</xdr:rowOff>
    </xdr:from>
    <xdr:to>
      <xdr:col>3</xdr:col>
      <xdr:colOff>0</xdr:colOff>
      <xdr:row>6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142875</xdr:rowOff>
    </xdr:from>
    <xdr:to>
      <xdr:col>3</xdr:col>
      <xdr:colOff>0</xdr:colOff>
      <xdr:row>6</xdr:row>
      <xdr:rowOff>38100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sferte\2003\Trasferta%20FS%202003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cnl\Competenze\Maschera%20Pensione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nl\Competenze\Variazioni%20a%20DiNallo\Tdq_FS.X%20Y%20per%20longobu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Tabelle"/>
      <sheetName val="Trasferta"/>
      <sheetName val="Calcoli"/>
      <sheetName val="P120"/>
      <sheetName val="P 120 euro"/>
      <sheetName val="NUOVO"/>
      <sheetName val="Riepilogo"/>
      <sheetName val="Modulo4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Pensione"/>
      <sheetName val="Tabelle"/>
      <sheetName val="EDR1"/>
      <sheetName val="link"/>
      <sheetName val="Ritenute Fiscali"/>
      <sheetName val="Ritenute Fiscali 2002"/>
      <sheetName val="Foglio1"/>
      <sheetName val="Foglio2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de"/>
      <sheetName val="Assicurato"/>
      <sheetName val="Stampa_Dir"/>
      <sheetName val="Stampa_Ind"/>
      <sheetName val="Pos_Ass"/>
      <sheetName val="IPUVT"/>
      <sheetName val="Pens_Norm"/>
      <sheetName val="Priv_Art226"/>
      <sheetName val="Priv_Art227"/>
      <sheetName val="Pens_Priv"/>
      <sheetName val="Inab_Retrib"/>
      <sheetName val="Inab_Mista"/>
      <sheetName val="Servizi"/>
      <sheetName val="Calc_Serv"/>
      <sheetName val="Contr_Serv"/>
      <sheetName val="Tabelle"/>
      <sheetName val="TabelleDiritto"/>
      <sheetName val="TabelleFS"/>
    </sheetNames>
    <sheetDataSet>
      <sheetData sheetId="1">
        <row r="9">
          <cell r="B9">
            <v>17452</v>
          </cell>
        </row>
        <row r="16">
          <cell r="I16">
            <v>38534</v>
          </cell>
        </row>
        <row r="17">
          <cell r="I17">
            <v>38533</v>
          </cell>
        </row>
        <row r="22">
          <cell r="B22">
            <v>58</v>
          </cell>
        </row>
        <row r="23">
          <cell r="B23">
            <v>25</v>
          </cell>
        </row>
        <row r="67">
          <cell r="B67">
            <v>2</v>
          </cell>
          <cell r="G67" t="str">
            <v>A</v>
          </cell>
        </row>
      </sheetData>
      <sheetData sheetId="4">
        <row r="94">
          <cell r="B94">
            <v>1</v>
          </cell>
          <cell r="C94">
            <v>1</v>
          </cell>
          <cell r="D94">
            <v>1</v>
          </cell>
        </row>
        <row r="95">
          <cell r="A95" t="str">
            <v> F.S. di ruolo</v>
          </cell>
          <cell r="B95">
            <v>1</v>
          </cell>
          <cell r="C95">
            <v>1</v>
          </cell>
          <cell r="D95">
            <v>1</v>
          </cell>
          <cell r="M95">
            <v>1</v>
          </cell>
        </row>
        <row r="96">
          <cell r="A96" t="str">
            <v> F.S. non di ruolo</v>
          </cell>
          <cell r="B96">
            <v>1</v>
          </cell>
          <cell r="C96">
            <v>1</v>
          </cell>
          <cell r="D96">
            <v>1</v>
          </cell>
          <cell r="M96">
            <v>2</v>
          </cell>
        </row>
        <row r="97">
          <cell r="A97" t="str">
            <v> F.S. part time 1/2</v>
          </cell>
          <cell r="B97">
            <v>1</v>
          </cell>
          <cell r="C97">
            <v>0.5</v>
          </cell>
          <cell r="D97">
            <v>0.5</v>
          </cell>
          <cell r="M97">
            <v>3</v>
          </cell>
        </row>
        <row r="98">
          <cell r="A98" t="str">
            <v> F.S. part time 2/3</v>
          </cell>
          <cell r="B98">
            <v>1</v>
          </cell>
          <cell r="C98">
            <v>0.6666666666666666</v>
          </cell>
          <cell r="D98">
            <v>0.6666666666666666</v>
          </cell>
          <cell r="M98">
            <v>4</v>
          </cell>
        </row>
        <row r="99">
          <cell r="A99" t="str">
            <v> F.S. recupero interruzioni</v>
          </cell>
          <cell r="B99">
            <v>1</v>
          </cell>
          <cell r="C99">
            <v>1</v>
          </cell>
          <cell r="D99">
            <v>1</v>
          </cell>
          <cell r="M99">
            <v>5</v>
          </cell>
        </row>
        <row r="100">
          <cell r="A100" t="str">
            <v> Militare</v>
          </cell>
          <cell r="B100">
            <v>1</v>
          </cell>
          <cell r="C100">
            <v>1</v>
          </cell>
          <cell r="D100">
            <v>1</v>
          </cell>
          <cell r="E100" t="str">
            <v>s</v>
          </cell>
          <cell r="H100" t="str">
            <v>s</v>
          </cell>
          <cell r="M100">
            <v>6</v>
          </cell>
        </row>
        <row r="101">
          <cell r="A101" t="str">
            <v>Altre Amministrazioni</v>
          </cell>
          <cell r="B101">
            <v>1</v>
          </cell>
          <cell r="C101">
            <v>1</v>
          </cell>
          <cell r="D101">
            <v>1</v>
          </cell>
          <cell r="M101">
            <v>7</v>
          </cell>
        </row>
        <row r="102">
          <cell r="A102" t="str">
            <v>Altre Amministrazioni part time 1/2</v>
          </cell>
          <cell r="B102">
            <v>1</v>
          </cell>
          <cell r="C102">
            <v>0.5</v>
          </cell>
          <cell r="D102">
            <v>0.5</v>
          </cell>
          <cell r="M102">
            <v>8</v>
          </cell>
        </row>
        <row r="103">
          <cell r="A103" t="str">
            <v>Altre Amministrazioni part time 2/3</v>
          </cell>
          <cell r="B103">
            <v>1</v>
          </cell>
          <cell r="C103">
            <v>0.6666666666666666</v>
          </cell>
          <cell r="D103">
            <v>0.6666666666666666</v>
          </cell>
          <cell r="M103">
            <v>9</v>
          </cell>
        </row>
        <row r="104">
          <cell r="A104" t="str">
            <v>Assuntori F.P.</v>
          </cell>
          <cell r="B104">
            <v>1</v>
          </cell>
          <cell r="C104">
            <v>1</v>
          </cell>
          <cell r="D104">
            <v>1</v>
          </cell>
          <cell r="E104" t="str">
            <v>s</v>
          </cell>
          <cell r="M104">
            <v>10</v>
          </cell>
        </row>
        <row r="105">
          <cell r="A105" t="str">
            <v>Assuntori servizi pregressi</v>
          </cell>
          <cell r="B105">
            <v>1</v>
          </cell>
          <cell r="C105">
            <v>1</v>
          </cell>
          <cell r="D105">
            <v>1</v>
          </cell>
          <cell r="E105" t="str">
            <v>s</v>
          </cell>
          <cell r="M105">
            <v>11</v>
          </cell>
        </row>
        <row r="106">
          <cell r="A106" t="str">
            <v>Aumento L. 120/1991</v>
          </cell>
          <cell r="B106">
            <v>0.3333333333333333</v>
          </cell>
          <cell r="C106">
            <v>1</v>
          </cell>
          <cell r="D106">
            <v>0.3333333333333333</v>
          </cell>
          <cell r="E106" t="str">
            <v>s</v>
          </cell>
          <cell r="F106" t="str">
            <v>s</v>
          </cell>
          <cell r="M106">
            <v>12</v>
          </cell>
        </row>
        <row r="107">
          <cell r="A107" t="str">
            <v>Aumento L. 120/1991 part time 1/2</v>
          </cell>
          <cell r="B107">
            <v>0.3333333333333333</v>
          </cell>
          <cell r="C107">
            <v>0.5</v>
          </cell>
          <cell r="D107">
            <v>0.16666666666666666</v>
          </cell>
          <cell r="E107" t="str">
            <v>s</v>
          </cell>
          <cell r="F107" t="str">
            <v>s</v>
          </cell>
          <cell r="M107">
            <v>13</v>
          </cell>
        </row>
        <row r="108">
          <cell r="A108" t="str">
            <v>Aumento L. 120/1991 part time 2/3</v>
          </cell>
          <cell r="B108">
            <v>0.3333333333333333</v>
          </cell>
          <cell r="C108">
            <v>0.6666666666666666</v>
          </cell>
          <cell r="D108">
            <v>0.2222222222222222</v>
          </cell>
          <cell r="E108" t="str">
            <v>s</v>
          </cell>
          <cell r="F108" t="str">
            <v>s</v>
          </cell>
          <cell r="M108">
            <v>14</v>
          </cell>
        </row>
        <row r="109">
          <cell r="A109" t="str">
            <v>Aumento L. 257/1992</v>
          </cell>
          <cell r="B109">
            <v>0.1</v>
          </cell>
          <cell r="C109">
            <v>1</v>
          </cell>
          <cell r="D109">
            <v>0.1</v>
          </cell>
          <cell r="E109" t="str">
            <v>s</v>
          </cell>
          <cell r="M109">
            <v>15</v>
          </cell>
        </row>
        <row r="110">
          <cell r="A110" t="str">
            <v>Aumento L. 388/2000 </v>
          </cell>
          <cell r="B110">
            <v>0.16666666666666666</v>
          </cell>
          <cell r="C110">
            <v>1</v>
          </cell>
          <cell r="D110">
            <v>0.16666666666666666</v>
          </cell>
          <cell r="E110" t="str">
            <v>s</v>
          </cell>
          <cell r="G110" t="str">
            <v>s</v>
          </cell>
          <cell r="M110">
            <v>16</v>
          </cell>
        </row>
        <row r="111">
          <cell r="A111" t="str">
            <v>Aumento L. 388/2000 part time 1/2</v>
          </cell>
          <cell r="B111">
            <v>0.16666666666666666</v>
          </cell>
          <cell r="C111">
            <v>0.5</v>
          </cell>
          <cell r="D111">
            <v>0.08333333333333333</v>
          </cell>
          <cell r="E111" t="str">
            <v>s</v>
          </cell>
          <cell r="G111" t="str">
            <v>s</v>
          </cell>
          <cell r="M111">
            <v>17</v>
          </cell>
        </row>
        <row r="112">
          <cell r="A112" t="str">
            <v>Aumento L. 388/2000 part time 2/3</v>
          </cell>
          <cell r="B112">
            <v>0.16666666666666666</v>
          </cell>
          <cell r="C112">
            <v>0.6666666666666666</v>
          </cell>
          <cell r="D112">
            <v>0.1111111111111111</v>
          </cell>
          <cell r="E112" t="str">
            <v>s</v>
          </cell>
          <cell r="G112" t="str">
            <v>s</v>
          </cell>
          <cell r="M112">
            <v>18</v>
          </cell>
        </row>
        <row r="113">
          <cell r="A113" t="str">
            <v>Enti Locali</v>
          </cell>
          <cell r="B113">
            <v>1</v>
          </cell>
          <cell r="C113">
            <v>1</v>
          </cell>
          <cell r="D113">
            <v>1</v>
          </cell>
          <cell r="E113" t="str">
            <v>s</v>
          </cell>
          <cell r="M113">
            <v>19</v>
          </cell>
        </row>
        <row r="114">
          <cell r="A114" t="str">
            <v>Ferrovie già concesse</v>
          </cell>
          <cell r="B114">
            <v>1</v>
          </cell>
          <cell r="C114">
            <v>1</v>
          </cell>
          <cell r="D114">
            <v>1</v>
          </cell>
          <cell r="E114" t="str">
            <v>s</v>
          </cell>
          <cell r="M114">
            <v>20</v>
          </cell>
        </row>
        <row r="115">
          <cell r="A115" t="str">
            <v>Ditte Appaltatrici</v>
          </cell>
          <cell r="B115">
            <v>1</v>
          </cell>
          <cell r="C115">
            <v>1</v>
          </cell>
          <cell r="D115">
            <v>1</v>
          </cell>
          <cell r="E115" t="str">
            <v>s</v>
          </cell>
          <cell r="M115">
            <v>21</v>
          </cell>
        </row>
        <row r="116">
          <cell r="A116" t="str">
            <v>Enti Locali</v>
          </cell>
          <cell r="B116">
            <v>1</v>
          </cell>
          <cell r="C116">
            <v>1</v>
          </cell>
          <cell r="D116">
            <v>1</v>
          </cell>
          <cell r="E116" t="str">
            <v>s</v>
          </cell>
          <cell r="M116">
            <v>22</v>
          </cell>
        </row>
        <row r="117">
          <cell r="A117" t="str">
            <v>Ferrovie già concesse</v>
          </cell>
          <cell r="B117">
            <v>1</v>
          </cell>
          <cell r="C117">
            <v>1</v>
          </cell>
          <cell r="D117">
            <v>1</v>
          </cell>
          <cell r="E117" t="str">
            <v>s</v>
          </cell>
          <cell r="M117">
            <v>23</v>
          </cell>
        </row>
        <row r="118">
          <cell r="A118" t="str">
            <v>Governativo di ruolo</v>
          </cell>
          <cell r="B118">
            <v>1</v>
          </cell>
          <cell r="C118">
            <v>1</v>
          </cell>
          <cell r="D118">
            <v>1</v>
          </cell>
          <cell r="E118" t="str">
            <v>s</v>
          </cell>
          <cell r="M118">
            <v>24</v>
          </cell>
        </row>
        <row r="119">
          <cell r="A119" t="str">
            <v>Governativo non di ruolo</v>
          </cell>
          <cell r="B119">
            <v>1</v>
          </cell>
          <cell r="C119">
            <v>1</v>
          </cell>
          <cell r="D119">
            <v>1</v>
          </cell>
          <cell r="E119" t="str">
            <v>s</v>
          </cell>
          <cell r="M119">
            <v>25</v>
          </cell>
        </row>
        <row r="120">
          <cell r="A120" t="str">
            <v>Ricongiunzione legge 29/1979</v>
          </cell>
          <cell r="B120">
            <v>1</v>
          </cell>
          <cell r="C120">
            <v>1</v>
          </cell>
          <cell r="D120">
            <v>1</v>
          </cell>
          <cell r="E120" t="str">
            <v>s</v>
          </cell>
          <cell r="M120">
            <v>26</v>
          </cell>
        </row>
        <row r="121">
          <cell r="A121" t="str">
            <v>Ricongiunzione legge 45/1990</v>
          </cell>
          <cell r="B121">
            <v>1</v>
          </cell>
          <cell r="C121">
            <v>1</v>
          </cell>
          <cell r="D121">
            <v>1</v>
          </cell>
          <cell r="E121" t="str">
            <v>s</v>
          </cell>
          <cell r="M121">
            <v>27</v>
          </cell>
        </row>
        <row r="122">
          <cell r="A122" t="str">
            <v>Servizio ex OPAFS</v>
          </cell>
          <cell r="B122">
            <v>1</v>
          </cell>
          <cell r="C122">
            <v>1</v>
          </cell>
          <cell r="D122">
            <v>1</v>
          </cell>
          <cell r="E122" t="str">
            <v>s</v>
          </cell>
          <cell r="M122">
            <v>28</v>
          </cell>
        </row>
        <row r="123">
          <cell r="A123" t="str">
            <v>Servizio incaricato</v>
          </cell>
          <cell r="B123">
            <v>1</v>
          </cell>
          <cell r="C123">
            <v>1</v>
          </cell>
          <cell r="D123">
            <v>1</v>
          </cell>
          <cell r="E123" t="str">
            <v>s</v>
          </cell>
          <cell r="M123">
            <v>29</v>
          </cell>
        </row>
        <row r="124">
          <cell r="A124" t="str">
            <v>Studi universitari</v>
          </cell>
          <cell r="B124">
            <v>1</v>
          </cell>
          <cell r="C124">
            <v>1</v>
          </cell>
          <cell r="D124">
            <v>1</v>
          </cell>
          <cell r="E124" t="str">
            <v>s</v>
          </cell>
          <cell r="M124">
            <v>30</v>
          </cell>
        </row>
        <row r="125">
          <cell r="A125" t="str">
            <v>Versamenti volontari</v>
          </cell>
          <cell r="B125">
            <v>1</v>
          </cell>
          <cell r="C125">
            <v>1</v>
          </cell>
          <cell r="D125">
            <v>1</v>
          </cell>
          <cell r="E125" t="str">
            <v>s</v>
          </cell>
          <cell r="I125" t="str">
            <v>s</v>
          </cell>
          <cell r="M125">
            <v>31</v>
          </cell>
        </row>
        <row r="126">
          <cell r="M126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A5"/>
  <sheetViews>
    <sheetView workbookViewId="0" topLeftCell="IV65536">
      <selection activeCell="A1" sqref="A1:IV16384"/>
    </sheetView>
  </sheetViews>
  <sheetFormatPr defaultColWidth="9.140625" defaultRowHeight="12.75" zeroHeight="1"/>
  <cols>
    <col min="1" max="2" width="9.140625" style="332" hidden="1" customWidth="1"/>
    <col min="3" max="16384" width="0" style="332" hidden="1" customWidth="1"/>
  </cols>
  <sheetData>
    <row r="1" ht="33" hidden="1">
      <c r="A1" s="331" t="s">
        <v>532</v>
      </c>
    </row>
    <row r="2" ht="12.75" hidden="1"/>
    <row r="3" ht="12.75" hidden="1">
      <c r="A3" s="332" t="s">
        <v>533</v>
      </c>
    </row>
    <row r="4" ht="12.75" hidden="1"/>
    <row r="5" ht="12.75" hidden="1">
      <c r="A5" s="332" t="s">
        <v>531</v>
      </c>
    </row>
  </sheetData>
  <sheetProtection password="8E6D" sheet="1" objects="1" scenarios="1"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0"/>
  <dimension ref="B1:Q289"/>
  <sheetViews>
    <sheetView workbookViewId="0" topLeftCell="A16">
      <selection activeCell="B30" sqref="B30"/>
    </sheetView>
  </sheetViews>
  <sheetFormatPr defaultColWidth="9.140625" defaultRowHeight="12.75"/>
  <cols>
    <col min="1" max="1" width="6.421875" style="2" customWidth="1"/>
    <col min="2" max="2" width="12.28125" style="9" customWidth="1"/>
    <col min="3" max="3" width="10.7109375" style="9" customWidth="1"/>
    <col min="4" max="4" width="15.00390625" style="9" customWidth="1"/>
    <col min="5" max="5" width="17.421875" style="9" customWidth="1"/>
    <col min="6" max="6" width="19.140625" style="9" customWidth="1"/>
    <col min="7" max="7" width="9.28125" style="9" customWidth="1"/>
    <col min="8" max="8" width="13.28125" style="9" customWidth="1"/>
    <col min="9" max="9" width="10.140625" style="9" customWidth="1"/>
    <col min="10" max="10" width="12.57421875" style="9" customWidth="1"/>
    <col min="11" max="16384" width="9.140625" style="9" customWidth="1"/>
  </cols>
  <sheetData>
    <row r="1" spans="2:6" ht="52.5" customHeight="1" thickBot="1">
      <c r="B1" s="7" t="s">
        <v>55</v>
      </c>
      <c r="C1" s="8"/>
      <c r="D1" s="7" t="s">
        <v>345</v>
      </c>
      <c r="E1" s="7" t="s">
        <v>375</v>
      </c>
      <c r="F1" s="7" t="s">
        <v>346</v>
      </c>
    </row>
    <row r="2" spans="2:8" ht="12.75">
      <c r="B2" s="10">
        <v>2002</v>
      </c>
      <c r="C2" s="11"/>
      <c r="D2" s="12">
        <v>55</v>
      </c>
      <c r="E2" s="11"/>
      <c r="F2" s="13">
        <v>37</v>
      </c>
      <c r="H2" s="9" t="s">
        <v>357</v>
      </c>
    </row>
    <row r="3" spans="2:12" ht="12.75">
      <c r="B3" s="14">
        <v>2003</v>
      </c>
      <c r="C3" s="11"/>
      <c r="D3" s="11">
        <v>56</v>
      </c>
      <c r="E3" s="11">
        <v>55</v>
      </c>
      <c r="F3" s="15">
        <v>37</v>
      </c>
      <c r="H3" s="9" t="s">
        <v>367</v>
      </c>
      <c r="L3" s="9">
        <f>link!I3</f>
        <v>5</v>
      </c>
    </row>
    <row r="4" spans="2:8" ht="12.75">
      <c r="B4" s="14">
        <v>2004</v>
      </c>
      <c r="C4" s="11"/>
      <c r="D4" s="11">
        <v>57</v>
      </c>
      <c r="E4" s="11"/>
      <c r="F4" s="15">
        <v>38</v>
      </c>
      <c r="H4" s="9" t="s">
        <v>360</v>
      </c>
    </row>
    <row r="5" spans="2:8" ht="12.75">
      <c r="B5" s="14">
        <v>2005</v>
      </c>
      <c r="C5" s="11"/>
      <c r="D5" s="11">
        <v>57</v>
      </c>
      <c r="E5" s="11"/>
      <c r="F5" s="15">
        <v>38</v>
      </c>
      <c r="H5" s="9" t="s">
        <v>361</v>
      </c>
    </row>
    <row r="6" spans="2:8" ht="12.75">
      <c r="B6" s="14">
        <v>2006</v>
      </c>
      <c r="C6" s="11"/>
      <c r="D6" s="11">
        <v>57</v>
      </c>
      <c r="E6" s="11"/>
      <c r="F6" s="15">
        <v>39</v>
      </c>
      <c r="H6" s="9" t="s">
        <v>358</v>
      </c>
    </row>
    <row r="7" spans="2:8" ht="12.75">
      <c r="B7" s="14">
        <v>2007</v>
      </c>
      <c r="C7" s="11"/>
      <c r="D7" s="11">
        <v>57</v>
      </c>
      <c r="E7" s="11"/>
      <c r="F7" s="15">
        <v>39</v>
      </c>
      <c r="H7" s="9" t="s">
        <v>359</v>
      </c>
    </row>
    <row r="8" spans="2:6" ht="13.5" thickBot="1">
      <c r="B8" s="16">
        <v>2008</v>
      </c>
      <c r="C8" s="17"/>
      <c r="D8" s="17">
        <v>57</v>
      </c>
      <c r="E8" s="17"/>
      <c r="F8" s="18">
        <v>40</v>
      </c>
    </row>
    <row r="10" ht="13.5" thickBot="1">
      <c r="I10" s="9" t="s">
        <v>376</v>
      </c>
    </row>
    <row r="11" spans="2:7" ht="68.25" thickBot="1">
      <c r="B11" s="19" t="s">
        <v>347</v>
      </c>
      <c r="C11" s="20" t="s">
        <v>348</v>
      </c>
      <c r="D11" s="449" t="s">
        <v>349</v>
      </c>
      <c r="E11" s="450"/>
      <c r="F11" s="450"/>
      <c r="G11" s="451"/>
    </row>
    <row r="12" spans="2:8" ht="12.75">
      <c r="B12" s="21">
        <v>37346</v>
      </c>
      <c r="C12" s="22"/>
      <c r="D12" s="23" t="s">
        <v>350</v>
      </c>
      <c r="E12" s="23"/>
      <c r="F12" s="23"/>
      <c r="G12" s="24">
        <v>57</v>
      </c>
      <c r="H12" s="9" t="s">
        <v>376</v>
      </c>
    </row>
    <row r="13" spans="2:8" ht="13.5" thickBot="1">
      <c r="B13" s="25"/>
      <c r="C13" s="26"/>
      <c r="D13" s="27" t="s">
        <v>351</v>
      </c>
      <c r="E13" s="27"/>
      <c r="F13" s="27"/>
      <c r="G13" s="28">
        <v>57</v>
      </c>
      <c r="H13" s="9" t="s">
        <v>377</v>
      </c>
    </row>
    <row r="14" spans="2:8" ht="12.75">
      <c r="B14" s="21">
        <v>37437</v>
      </c>
      <c r="C14" s="22"/>
      <c r="D14" s="23" t="s">
        <v>352</v>
      </c>
      <c r="E14" s="23"/>
      <c r="F14" s="23"/>
      <c r="G14" s="24">
        <v>57</v>
      </c>
      <c r="H14" s="9" t="s">
        <v>378</v>
      </c>
    </row>
    <row r="15" spans="2:8" ht="13.5" thickBot="1">
      <c r="B15" s="25"/>
      <c r="C15" s="26"/>
      <c r="D15" s="27" t="s">
        <v>351</v>
      </c>
      <c r="E15" s="27"/>
      <c r="F15" s="27"/>
      <c r="G15" s="28">
        <v>57</v>
      </c>
      <c r="H15" s="9" t="s">
        <v>379</v>
      </c>
    </row>
    <row r="16" spans="2:8" ht="13.5" thickBot="1">
      <c r="B16" s="29">
        <v>37529</v>
      </c>
      <c r="C16" s="30"/>
      <c r="D16" s="31" t="s">
        <v>353</v>
      </c>
      <c r="E16" s="31"/>
      <c r="F16" s="31"/>
      <c r="G16" s="32"/>
      <c r="H16" s="9" t="s">
        <v>380</v>
      </c>
    </row>
    <row r="17" spans="2:8" ht="13.5" thickBot="1">
      <c r="B17" s="33">
        <v>37621</v>
      </c>
      <c r="C17" s="26"/>
      <c r="D17" s="27" t="s">
        <v>353</v>
      </c>
      <c r="E17" s="27"/>
      <c r="F17" s="27"/>
      <c r="G17" s="28"/>
      <c r="H17" s="9" t="s">
        <v>381</v>
      </c>
    </row>
    <row r="21" ht="12.75">
      <c r="B21" s="9" t="s">
        <v>356</v>
      </c>
    </row>
    <row r="25" ht="12.75">
      <c r="B25" s="9" t="s">
        <v>382</v>
      </c>
    </row>
    <row r="26" ht="12.75">
      <c r="B26" s="9" t="s">
        <v>383</v>
      </c>
    </row>
    <row r="28" ht="12.75">
      <c r="B28" s="9" t="s">
        <v>100</v>
      </c>
    </row>
    <row r="30" ht="12.75">
      <c r="C30" s="9" t="s">
        <v>523</v>
      </c>
    </row>
    <row r="32" ht="12.75">
      <c r="C32" s="9" t="s">
        <v>0</v>
      </c>
    </row>
    <row r="266" spans="10:17" ht="12.75">
      <c r="J266" s="34"/>
      <c r="K266" s="34"/>
      <c r="L266" s="34"/>
      <c r="M266" s="34"/>
      <c r="N266" s="34"/>
      <c r="O266" s="34"/>
      <c r="P266" s="34"/>
      <c r="Q266" s="34"/>
    </row>
    <row r="267" spans="10:17" ht="12.75">
      <c r="J267" s="34"/>
      <c r="K267" s="34"/>
      <c r="L267" s="34"/>
      <c r="M267" s="34"/>
      <c r="N267" s="34"/>
      <c r="O267" s="34"/>
      <c r="P267" s="34"/>
      <c r="Q267" s="34"/>
    </row>
    <row r="268" spans="10:17" ht="12.75">
      <c r="J268" s="34"/>
      <c r="K268" s="34"/>
      <c r="L268" s="34"/>
      <c r="M268" s="34"/>
      <c r="N268" s="34"/>
      <c r="O268" s="34"/>
      <c r="P268" s="34"/>
      <c r="Q268" s="34"/>
    </row>
    <row r="269" spans="10:17" ht="12.75">
      <c r="J269" s="34"/>
      <c r="K269" s="34"/>
      <c r="L269" s="34"/>
      <c r="M269" s="34"/>
      <c r="N269" s="34"/>
      <c r="O269" s="34"/>
      <c r="P269" s="34"/>
      <c r="Q269" s="34"/>
    </row>
    <row r="270" spans="10:17" ht="12.75">
      <c r="J270" s="34"/>
      <c r="K270" s="34"/>
      <c r="L270" s="34"/>
      <c r="M270" s="34"/>
      <c r="N270" s="34"/>
      <c r="O270" s="34"/>
      <c r="P270" s="34"/>
      <c r="Q270" s="34"/>
    </row>
    <row r="271" spans="10:17" ht="12.75">
      <c r="J271" s="34"/>
      <c r="K271" s="34"/>
      <c r="L271" s="34"/>
      <c r="M271" s="34"/>
      <c r="N271" s="34"/>
      <c r="O271" s="34"/>
      <c r="P271" s="34"/>
      <c r="Q271" s="34"/>
    </row>
    <row r="272" spans="10:17" ht="12.75">
      <c r="J272" s="34"/>
      <c r="K272" s="34"/>
      <c r="L272" s="34"/>
      <c r="M272" s="34"/>
      <c r="N272" s="34"/>
      <c r="O272" s="34"/>
      <c r="P272" s="34"/>
      <c r="Q272" s="34"/>
    </row>
    <row r="273" spans="10:17" ht="12.75">
      <c r="J273" s="34"/>
      <c r="K273" s="34"/>
      <c r="L273" s="34"/>
      <c r="M273" s="34"/>
      <c r="N273" s="34"/>
      <c r="O273" s="34"/>
      <c r="P273" s="34"/>
      <c r="Q273" s="34"/>
    </row>
    <row r="274" spans="10:17" ht="12.75">
      <c r="J274" s="34"/>
      <c r="K274" s="34"/>
      <c r="L274" s="34"/>
      <c r="M274" s="34"/>
      <c r="N274" s="34"/>
      <c r="O274" s="34"/>
      <c r="P274" s="34"/>
      <c r="Q274" s="34"/>
    </row>
    <row r="275" spans="10:17" ht="12.75">
      <c r="J275" s="34"/>
      <c r="K275" s="34"/>
      <c r="L275" s="34"/>
      <c r="M275" s="34"/>
      <c r="N275" s="34"/>
      <c r="O275" s="34"/>
      <c r="P275" s="34"/>
      <c r="Q275" s="34"/>
    </row>
    <row r="276" spans="10:17" ht="12.75">
      <c r="J276" s="34"/>
      <c r="K276" s="34"/>
      <c r="L276" s="34"/>
      <c r="M276" s="34"/>
      <c r="N276" s="34"/>
      <c r="O276" s="34"/>
      <c r="P276" s="34"/>
      <c r="Q276" s="34"/>
    </row>
    <row r="277" spans="10:17" ht="12.75">
      <c r="J277" s="34"/>
      <c r="K277" s="34"/>
      <c r="L277" s="34"/>
      <c r="M277" s="34"/>
      <c r="N277" s="34"/>
      <c r="O277" s="34"/>
      <c r="P277" s="34"/>
      <c r="Q277" s="34"/>
    </row>
    <row r="278" spans="10:17" ht="12.75">
      <c r="J278" s="34"/>
      <c r="K278" s="34"/>
      <c r="L278" s="34"/>
      <c r="M278" s="34"/>
      <c r="N278" s="34"/>
      <c r="O278" s="34"/>
      <c r="P278" s="34"/>
      <c r="Q278" s="34"/>
    </row>
    <row r="279" spans="10:17" ht="12.75">
      <c r="J279" s="34"/>
      <c r="K279" s="34"/>
      <c r="L279" s="34"/>
      <c r="M279" s="34"/>
      <c r="N279" s="34"/>
      <c r="O279" s="34"/>
      <c r="P279" s="34"/>
      <c r="Q279" s="34"/>
    </row>
    <row r="280" spans="10:17" ht="12.75">
      <c r="J280" s="34"/>
      <c r="K280" s="34"/>
      <c r="L280" s="34"/>
      <c r="M280" s="34"/>
      <c r="N280" s="34"/>
      <c r="O280" s="34"/>
      <c r="P280" s="34"/>
      <c r="Q280" s="34"/>
    </row>
    <row r="281" spans="10:17" ht="12.75">
      <c r="J281" s="34"/>
      <c r="K281" s="34"/>
      <c r="L281" s="34"/>
      <c r="M281" s="34"/>
      <c r="N281" s="34"/>
      <c r="O281" s="34"/>
      <c r="P281" s="34"/>
      <c r="Q281" s="34"/>
    </row>
    <row r="282" spans="10:17" ht="12.75">
      <c r="J282" s="34"/>
      <c r="K282" s="34"/>
      <c r="L282" s="34"/>
      <c r="M282" s="34"/>
      <c r="N282" s="34"/>
      <c r="O282" s="34"/>
      <c r="P282" s="34"/>
      <c r="Q282" s="34"/>
    </row>
    <row r="283" spans="10:17" ht="12.75">
      <c r="J283" s="34"/>
      <c r="K283" s="34"/>
      <c r="L283" s="34"/>
      <c r="M283" s="34"/>
      <c r="N283" s="34"/>
      <c r="O283" s="34"/>
      <c r="P283" s="34"/>
      <c r="Q283" s="34"/>
    </row>
    <row r="284" spans="10:17" ht="12.75">
      <c r="J284" s="34"/>
      <c r="K284" s="34"/>
      <c r="L284" s="34"/>
      <c r="M284" s="34"/>
      <c r="N284" s="34"/>
      <c r="O284" s="34"/>
      <c r="P284" s="34"/>
      <c r="Q284" s="34"/>
    </row>
    <row r="285" spans="10:17" ht="12.75">
      <c r="J285" s="34"/>
      <c r="K285" s="34"/>
      <c r="L285" s="34"/>
      <c r="M285" s="34"/>
      <c r="N285" s="34"/>
      <c r="O285" s="34"/>
      <c r="P285" s="34"/>
      <c r="Q285" s="34"/>
    </row>
    <row r="286" spans="10:17" ht="12.75">
      <c r="J286" s="34"/>
      <c r="K286" s="34"/>
      <c r="L286" s="34"/>
      <c r="M286" s="34"/>
      <c r="N286" s="34"/>
      <c r="O286" s="34"/>
      <c r="P286" s="34"/>
      <c r="Q286" s="34"/>
    </row>
    <row r="287" spans="10:17" ht="12.75">
      <c r="J287" s="34"/>
      <c r="K287" s="34"/>
      <c r="L287" s="34"/>
      <c r="M287" s="34"/>
      <c r="N287" s="34"/>
      <c r="O287" s="34"/>
      <c r="P287" s="34"/>
      <c r="Q287" s="34"/>
    </row>
    <row r="288" spans="10:17" ht="12.75">
      <c r="J288" s="34"/>
      <c r="K288" s="34"/>
      <c r="L288" s="34"/>
      <c r="M288" s="34"/>
      <c r="N288" s="34"/>
      <c r="O288" s="34"/>
      <c r="P288" s="34"/>
      <c r="Q288" s="34"/>
    </row>
    <row r="289" spans="10:17" ht="12.75">
      <c r="J289" s="34"/>
      <c r="K289" s="34"/>
      <c r="L289" s="34"/>
      <c r="M289" s="34"/>
      <c r="N289" s="34"/>
      <c r="O289" s="34"/>
      <c r="P289" s="34"/>
      <c r="Q289" s="34"/>
    </row>
  </sheetData>
  <sheetProtection selectLockedCells="1" selectUnlockedCells="1"/>
  <mergeCells count="1">
    <mergeCell ref="D11:G1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1:A2"/>
  <sheetViews>
    <sheetView workbookViewId="0" topLeftCell="IV65536">
      <selection activeCell="A1" sqref="A1:IV16384"/>
    </sheetView>
  </sheetViews>
  <sheetFormatPr defaultColWidth="9.140625" defaultRowHeight="12.75" zeroHeight="1"/>
  <cols>
    <col min="1" max="2" width="9.140625" style="0" hidden="1" customWidth="1"/>
    <col min="3" max="16384" width="0" style="0" hidden="1" customWidth="1"/>
  </cols>
  <sheetData>
    <row r="1" ht="12.75" hidden="1">
      <c r="A1" t="s">
        <v>541</v>
      </c>
    </row>
    <row r="2" ht="12.75" hidden="1">
      <c r="A2" t="s">
        <v>542</v>
      </c>
    </row>
  </sheetData>
  <sheetProtection password="8E6D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39:C42"/>
  <sheetViews>
    <sheetView showRowColHeaders="0" tabSelected="1" workbookViewId="0" topLeftCell="A1">
      <selection activeCell="A37" sqref="A37"/>
    </sheetView>
  </sheetViews>
  <sheetFormatPr defaultColWidth="9.140625" defaultRowHeight="12.75"/>
  <cols>
    <col min="1" max="16384" width="9.140625" style="333" customWidth="1"/>
  </cols>
  <sheetData>
    <row r="39" ht="12.75">
      <c r="A39" s="452" t="s">
        <v>515</v>
      </c>
    </row>
    <row r="40" spans="1:3" ht="12.75">
      <c r="A40" s="452">
        <v>100</v>
      </c>
      <c r="C40" s="334"/>
    </row>
    <row r="41" spans="1:3" ht="12.75">
      <c r="A41" s="452">
        <v>100</v>
      </c>
      <c r="C41" s="334"/>
    </row>
    <row r="42" ht="12.75">
      <c r="C42" s="334"/>
    </row>
  </sheetData>
  <sheetProtection password="8E6D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4"/>
  <dimension ref="A1:AG238"/>
  <sheetViews>
    <sheetView zoomScale="75" zoomScaleNormal="75" workbookViewId="0" topLeftCell="IV65536">
      <selection activeCell="K1" sqref="A1:IV16384"/>
    </sheetView>
  </sheetViews>
  <sheetFormatPr defaultColWidth="9.140625" defaultRowHeight="12.75" zeroHeight="1"/>
  <cols>
    <col min="1" max="1" width="27.00390625" style="73" hidden="1" customWidth="1"/>
    <col min="2" max="2" width="12.57421875" style="73" hidden="1" customWidth="1"/>
    <col min="3" max="3" width="6.8515625" style="73" hidden="1" customWidth="1"/>
    <col min="4" max="4" width="0" style="73" hidden="1" customWidth="1"/>
    <col min="5" max="5" width="25.57421875" style="73" hidden="1" customWidth="1"/>
    <col min="6" max="6" width="31.421875" style="73" hidden="1" customWidth="1"/>
    <col min="7" max="7" width="40.28125" style="73" hidden="1" customWidth="1"/>
    <col min="8" max="8" width="21.8515625" style="73" hidden="1" customWidth="1"/>
    <col min="9" max="9" width="3.140625" style="73" hidden="1" customWidth="1"/>
    <col min="10" max="10" width="4.28125" style="73" hidden="1" customWidth="1"/>
    <col min="11" max="11" width="48.140625" style="73" hidden="1" customWidth="1"/>
    <col min="12" max="12" width="9.140625" style="73" hidden="1" customWidth="1"/>
    <col min="13" max="13" width="37.140625" style="73" hidden="1" customWidth="1"/>
    <col min="14" max="14" width="26.28125" style="73" hidden="1" customWidth="1"/>
    <col min="15" max="15" width="19.57421875" style="73" hidden="1" customWidth="1"/>
    <col min="16" max="18" width="0" style="73" hidden="1" customWidth="1"/>
    <col min="19" max="19" width="79.140625" style="73" hidden="1" customWidth="1"/>
    <col min="20" max="20" width="15.57421875" style="73" hidden="1" customWidth="1"/>
    <col min="21" max="23" width="0" style="73" hidden="1" customWidth="1"/>
    <col min="24" max="24" width="61.421875" style="73" hidden="1" customWidth="1"/>
    <col min="25" max="31" width="0" style="73" hidden="1" customWidth="1"/>
    <col min="32" max="32" width="18.28125" style="73" hidden="1" customWidth="1"/>
    <col min="33" max="16384" width="0" style="73" hidden="1" customWidth="1"/>
  </cols>
  <sheetData>
    <row r="1" spans="15:33" ht="12.75" hidden="1">
      <c r="O1" s="73">
        <v>15</v>
      </c>
      <c r="P1" s="73">
        <f>O1+1</f>
        <v>16</v>
      </c>
      <c r="Q1" s="73">
        <f aca="true" t="shared" si="0" ref="Q1:AG1">P1+1</f>
        <v>17</v>
      </c>
      <c r="R1" s="73">
        <f t="shared" si="0"/>
        <v>18</v>
      </c>
      <c r="S1" s="73">
        <f t="shared" si="0"/>
        <v>19</v>
      </c>
      <c r="T1" s="73">
        <f t="shared" si="0"/>
        <v>20</v>
      </c>
      <c r="U1" s="73">
        <f t="shared" si="0"/>
        <v>21</v>
      </c>
      <c r="V1" s="73">
        <f t="shared" si="0"/>
        <v>22</v>
      </c>
      <c r="W1" s="73">
        <f t="shared" si="0"/>
        <v>23</v>
      </c>
      <c r="X1" s="73">
        <f t="shared" si="0"/>
        <v>24</v>
      </c>
      <c r="Y1" s="73">
        <f t="shared" si="0"/>
        <v>25</v>
      </c>
      <c r="Z1" s="73">
        <f t="shared" si="0"/>
        <v>26</v>
      </c>
      <c r="AA1" s="73">
        <f t="shared" si="0"/>
        <v>27</v>
      </c>
      <c r="AB1" s="73">
        <f t="shared" si="0"/>
        <v>28</v>
      </c>
      <c r="AC1" s="73">
        <f t="shared" si="0"/>
        <v>29</v>
      </c>
      <c r="AD1" s="73">
        <f t="shared" si="0"/>
        <v>30</v>
      </c>
      <c r="AE1" s="73">
        <f t="shared" si="0"/>
        <v>31</v>
      </c>
      <c r="AF1" s="73">
        <f t="shared" si="0"/>
        <v>32</v>
      </c>
      <c r="AG1" s="73">
        <f t="shared" si="0"/>
        <v>33</v>
      </c>
    </row>
    <row r="2" spans="1:11" ht="12.75" hidden="1">
      <c r="A2" s="74">
        <f>VLOOKUP($E$2&amp;$K$2&amp;$E$3&amp;$K$2&amp;$E$4,$F$6:$Q$238,12,FALSE)</f>
        <v>65</v>
      </c>
      <c r="E2" s="75" t="s">
        <v>419</v>
      </c>
      <c r="F2" s="75" t="s">
        <v>31</v>
      </c>
      <c r="G2" s="73" t="s">
        <v>104</v>
      </c>
      <c r="K2" s="73" t="s">
        <v>447</v>
      </c>
    </row>
    <row r="3" spans="1:33" ht="12.75" hidden="1">
      <c r="A3" s="74">
        <f>VLOOKUP($E$2&amp;$K$2&amp;$E$3&amp;$K$2&amp;$E$4,$F$6:$Q$238,11,FALSE)</f>
        <v>30</v>
      </c>
      <c r="B3" s="76"/>
      <c r="C3" s="76"/>
      <c r="D3" s="76"/>
      <c r="E3" s="75" t="s">
        <v>392</v>
      </c>
      <c r="F3" s="76"/>
      <c r="G3" s="76"/>
      <c r="H3" s="76"/>
      <c r="I3" s="76"/>
      <c r="J3" s="76"/>
      <c r="K3" s="76"/>
      <c r="L3" s="76"/>
      <c r="M3" s="76"/>
      <c r="N3" s="77" t="s">
        <v>134</v>
      </c>
      <c r="O3" s="78">
        <f>IF(link!F36&lt;=link!G39,VLOOKUP($E$3,EDR1!$C$3:$G$14,4,FALSE),IF(link!F36&lt;=link!$G$40,VLOOKUP($E$3,EDR1!$C$3:$G$14,5,FALSE),IF(link!F36&lt;=link!$G$41,VLOOKUP($E$3,EDR1!$C$3:$U$13,18,FALSE),IF(link!F36&lt;=link!$G$42,VLOOKUP($E$3,EDR1!$C$3:$V$13,19,FALSE),VLOOKUP($E$3,EDR1!$C$3:$V$13,20,FALSE)))))</f>
        <v>1879.54</v>
      </c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ht="12.75" hidden="1">
      <c r="A4" s="76"/>
      <c r="B4" s="76"/>
      <c r="C4" s="76"/>
      <c r="D4" s="76"/>
      <c r="E4" s="75" t="s">
        <v>47</v>
      </c>
      <c r="F4" s="76"/>
      <c r="G4" s="76"/>
      <c r="H4" s="76">
        <v>1</v>
      </c>
      <c r="I4" s="76">
        <f>H4+1</f>
        <v>2</v>
      </c>
      <c r="J4" s="76">
        <f>I4+1</f>
        <v>3</v>
      </c>
      <c r="K4" s="76">
        <f>J4+1</f>
        <v>4</v>
      </c>
      <c r="L4" s="76">
        <f>K4+1</f>
        <v>5</v>
      </c>
      <c r="M4" s="76">
        <f>L4+1</f>
        <v>6</v>
      </c>
      <c r="N4" s="77" t="s">
        <v>179</v>
      </c>
      <c r="O4" s="78">
        <f>$P$4*EDR1!$M$2</f>
        <v>330.33</v>
      </c>
      <c r="P4" s="79">
        <f>VLOOKUP($E$3,EDR1!$C$3:$H$14,6,FALSE)</f>
        <v>47.19</v>
      </c>
      <c r="Q4" s="76"/>
      <c r="R4" s="77" t="s">
        <v>129</v>
      </c>
      <c r="S4" s="76"/>
      <c r="T4" s="77" t="s">
        <v>130</v>
      </c>
      <c r="U4" s="76"/>
      <c r="V4" s="76"/>
      <c r="W4" s="77" t="s">
        <v>131</v>
      </c>
      <c r="X4" s="76"/>
      <c r="Y4" s="76"/>
      <c r="Z4" s="76"/>
      <c r="AA4" s="76"/>
      <c r="AB4" s="77" t="s">
        <v>35</v>
      </c>
      <c r="AC4" s="76"/>
      <c r="AD4" s="76"/>
      <c r="AE4" s="76"/>
      <c r="AF4" s="76"/>
      <c r="AG4" s="76"/>
    </row>
    <row r="5" spans="1:33" ht="12.75" hidden="1">
      <c r="A5" s="76"/>
      <c r="B5" s="76"/>
      <c r="C5" s="76"/>
      <c r="D5" s="77" t="s">
        <v>303</v>
      </c>
      <c r="E5" s="76"/>
      <c r="F5" s="76"/>
      <c r="G5" s="76"/>
      <c r="H5" s="76"/>
      <c r="I5" s="76"/>
      <c r="J5" s="76"/>
      <c r="K5" s="76"/>
      <c r="L5" s="76"/>
      <c r="M5" s="76"/>
      <c r="N5" s="77" t="s">
        <v>180</v>
      </c>
      <c r="O5" s="78">
        <f>VLOOKUP($E$3&amp;$K$2&amp;$E$2&amp;$K$2&amp;$E$4,EDR1!$A$36:$I$267,6,FALSE)</f>
        <v>189.54</v>
      </c>
      <c r="P5" s="76"/>
      <c r="Q5" s="76"/>
      <c r="R5" s="77">
        <v>0</v>
      </c>
      <c r="S5" s="77">
        <v>1</v>
      </c>
      <c r="T5" s="76"/>
      <c r="U5" s="76"/>
      <c r="V5" s="76"/>
      <c r="W5" s="77">
        <v>0</v>
      </c>
      <c r="X5" s="76"/>
      <c r="Y5" s="76"/>
      <c r="Z5" s="76"/>
      <c r="AA5" s="76"/>
      <c r="AB5" s="77">
        <v>0</v>
      </c>
      <c r="AC5" s="80" t="s">
        <v>355</v>
      </c>
      <c r="AD5" s="76"/>
      <c r="AE5" s="76"/>
      <c r="AF5" s="76"/>
      <c r="AG5" s="76"/>
    </row>
    <row r="6" spans="1:33" ht="12.75" hidden="1">
      <c r="A6" s="76" t="str">
        <f>L6&amp;$K$2&amp;K6</f>
        <v>A-COMANDANTE</v>
      </c>
      <c r="B6" s="81" t="str">
        <f aca="true" t="shared" si="1" ref="B6:B69">J6&amp;$K$2&amp;L6</f>
        <v>1-A</v>
      </c>
      <c r="C6" s="81">
        <f>COUNTIF($B$6:B6,"="&amp;B6)</f>
        <v>1</v>
      </c>
      <c r="D6" s="81" t="str">
        <f aca="true" t="shared" si="2" ref="D6:D69">C6&amp;$K$2&amp;J6&amp;$K$2&amp;L6</f>
        <v>1-1-A</v>
      </c>
      <c r="E6" s="76" t="str">
        <f>K6&amp;$K$2&amp;M6</f>
        <v>COMANDANTE-Comandante</v>
      </c>
      <c r="F6" s="76" t="str">
        <f aca="true" t="shared" si="3" ref="F6:F69">K6&amp;$K$2&amp;L6&amp;$K$2&amp;M6</f>
        <v>COMANDANTE-A-Comandante</v>
      </c>
      <c r="G6" s="76" t="str">
        <f>J6&amp;$K$2&amp;K6&amp;$K$2&amp;L6</f>
        <v>1-COMANDANTE-A</v>
      </c>
      <c r="H6" s="76" t="str">
        <f>A6&amp;$K$2&amp;D6</f>
        <v>A-COMANDANTE-1-1-A</v>
      </c>
      <c r="I6" s="76">
        <f aca="true" t="shared" si="4" ref="I6:I69">IF(K5&lt;&gt;K6,I5+1,I5)</f>
        <v>1</v>
      </c>
      <c r="J6" s="76">
        <f>COUNTIF($A$6:A6,"="&amp;A6)</f>
        <v>1</v>
      </c>
      <c r="K6" s="76" t="str">
        <f>EDR1!D36</f>
        <v>COMANDANTE</v>
      </c>
      <c r="L6" s="76" t="str">
        <f>EDR1!C36</f>
        <v>A</v>
      </c>
      <c r="M6" s="76" t="str">
        <f>EDR1!E36</f>
        <v>Comandante</v>
      </c>
      <c r="N6" s="77" t="s">
        <v>132</v>
      </c>
      <c r="O6" s="78">
        <f>VLOOKUP($E$3&amp;$K$2&amp;$E$2&amp;$K$2&amp;$E$4,EDR1!$A$36:$I$267,7,FALSE)</f>
        <v>204.90479117065286</v>
      </c>
      <c r="P6" s="82">
        <f>VLOOKUP(L6&amp;$K$2&amp;K6&amp;$K$2&amp;M6,EDR1!$A$36:$Q$268,16,FALSE)</f>
        <v>30</v>
      </c>
      <c r="Q6" s="82">
        <f>VLOOKUP(L6&amp;$K$2&amp;K6&amp;$K$2&amp;M6,EDR1!$A$36:$Q$268,17,FALSE)</f>
        <v>62</v>
      </c>
      <c r="R6" s="77">
        <f aca="true" t="shared" si="5" ref="R6:R69">R5+1</f>
        <v>1</v>
      </c>
      <c r="S6" s="80" t="str">
        <f aca="true" t="shared" si="6" ref="S6:S69">IF(ISNA(VLOOKUP((R5+1)&amp;$K$2&amp;$S$5&amp;$K$2&amp;$E$3,$D$6:$K$237,8,FALSE)),"",VLOOKUP((R5+1)&amp;$K$2&amp;$S$5&amp;$K$2&amp;$E$3,$D$6:$K$237,8,FALSE))</f>
        <v>COMANDANTE</v>
      </c>
      <c r="T6" s="77" t="str">
        <f aca="true" t="shared" si="7" ref="T6:T69">IF(S6&lt;&gt;"",VLOOKUP(S6,$K$6:$M$238,2,FALSE),"")</f>
        <v>A</v>
      </c>
      <c r="U6" s="76"/>
      <c r="V6" s="76"/>
      <c r="W6" s="77">
        <f>W5+1</f>
        <v>1</v>
      </c>
      <c r="X6" s="80" t="str">
        <f>IF(ISNA(VLOOKUP((W5+1)&amp;$K$2&amp;$E$2&amp;$K$2&amp;$E$3,$G$6:$M$237,7,FALSE)),"",VLOOKUP((W5+1)&amp;$K$2&amp;$E$2&amp;$K$2&amp;$E$3,$G$6:$M$237,7,FALSE))</f>
        <v>Capo Settore Controlleria</v>
      </c>
      <c r="Y6" s="80"/>
      <c r="Z6" s="77"/>
      <c r="AA6" s="76"/>
      <c r="AB6" s="77">
        <v>1</v>
      </c>
      <c r="AC6" s="80" t="s">
        <v>33</v>
      </c>
      <c r="AD6" s="76"/>
      <c r="AE6" s="76"/>
      <c r="AF6" s="76"/>
      <c r="AG6" s="76"/>
    </row>
    <row r="7" spans="1:33" ht="12.75" hidden="1">
      <c r="A7" s="76" t="str">
        <f aca="true" t="shared" si="8" ref="A7:A70">L7&amp;$K$2&amp;K7</f>
        <v>A-COMANDANTE</v>
      </c>
      <c r="B7" s="81" t="str">
        <f t="shared" si="1"/>
        <v>2-A</v>
      </c>
      <c r="C7" s="81">
        <f>COUNTIF($B$6:B7,"="&amp;B7)</f>
        <v>1</v>
      </c>
      <c r="D7" s="81" t="str">
        <f t="shared" si="2"/>
        <v>1-2-A</v>
      </c>
      <c r="E7" s="76" t="str">
        <f aca="true" t="shared" si="9" ref="E7:E70">K7&amp;$K$2&amp;M7</f>
        <v>COMANDANTE-Ex profilo non previsto</v>
      </c>
      <c r="F7" s="76" t="str">
        <f t="shared" si="3"/>
        <v>COMANDANTE-A-Ex profilo non previsto</v>
      </c>
      <c r="G7" s="76" t="str">
        <f aca="true" t="shared" si="10" ref="G7:G70">J7&amp;$K$2&amp;K7&amp;$K$2&amp;L7</f>
        <v>2-COMANDANTE-A</v>
      </c>
      <c r="H7" s="76" t="str">
        <f aca="true" t="shared" si="11" ref="H7:H70">A7&amp;$K$2&amp;D7</f>
        <v>A-COMANDANTE-1-2-A</v>
      </c>
      <c r="I7" s="76">
        <f t="shared" si="4"/>
        <v>1</v>
      </c>
      <c r="J7" s="76">
        <f>COUNTIF($A$6:A7,"="&amp;A7)</f>
        <v>2</v>
      </c>
      <c r="K7" s="76" t="str">
        <f>EDR1!D37</f>
        <v>COMANDANTE</v>
      </c>
      <c r="L7" s="76" t="str">
        <f>EDR1!C37</f>
        <v>A</v>
      </c>
      <c r="M7" s="76" t="str">
        <f>EDR1!E37</f>
        <v>Ex profilo non previsto</v>
      </c>
      <c r="N7" s="77" t="s">
        <v>133</v>
      </c>
      <c r="O7" s="78">
        <f>VLOOKUP($E$3&amp;$K$2&amp;$E$2&amp;$K$2&amp;$E$4,EDR1!$A$36:$I$267,8,FALSE)</f>
        <v>329.02</v>
      </c>
      <c r="P7" s="82">
        <f>VLOOKUP(L7&amp;$K$2&amp;K7&amp;$K$2&amp;M7,EDR1!$A$36:$Q$268,16,FALSE)</f>
        <v>30</v>
      </c>
      <c r="Q7" s="82">
        <f>VLOOKUP(L7&amp;$K$2&amp;K7&amp;$K$2&amp;M7,EDR1!$A$36:$Q$268,17,FALSE)</f>
        <v>62</v>
      </c>
      <c r="R7" s="77">
        <f t="shared" si="5"/>
        <v>2</v>
      </c>
      <c r="S7" s="80" t="str">
        <f t="shared" si="6"/>
        <v>DIRETTORE DI MACCHINA</v>
      </c>
      <c r="T7" s="77" t="str">
        <f t="shared" si="7"/>
        <v>A</v>
      </c>
      <c r="U7" s="76"/>
      <c r="V7" s="76"/>
      <c r="W7" s="77">
        <f aca="true" t="shared" si="12" ref="W7:W25">W6+1</f>
        <v>2</v>
      </c>
      <c r="X7" s="80" t="str">
        <f aca="true" t="shared" si="13" ref="X7:X25">IF(ISNA(VLOOKUP((W6+1)&amp;$K$2&amp;$E$2&amp;$K$2&amp;$E$3,$G$6:$M$237,7,FALSE)),"",VLOOKUP((W6+1)&amp;$K$2&amp;$E$2&amp;$K$2&amp;$E$3,$G$6:$M$237,7,FALSE))</f>
        <v>Capo Settore Gestioni</v>
      </c>
      <c r="Y7" s="80"/>
      <c r="Z7" s="77"/>
      <c r="AA7" s="76"/>
      <c r="AB7" s="77"/>
      <c r="AC7" s="77"/>
      <c r="AD7" s="76"/>
      <c r="AE7" s="76"/>
      <c r="AF7" s="76"/>
      <c r="AG7" s="76"/>
    </row>
    <row r="8" spans="1:33" ht="12.75" hidden="1">
      <c r="A8" s="76" t="str">
        <f t="shared" si="8"/>
        <v>A-DIRETTORE DI MACCHINA</v>
      </c>
      <c r="B8" s="81" t="str">
        <f t="shared" si="1"/>
        <v>1-A</v>
      </c>
      <c r="C8" s="81">
        <f>COUNTIF($B$6:B8,"="&amp;B8)</f>
        <v>2</v>
      </c>
      <c r="D8" s="81" t="str">
        <f t="shared" si="2"/>
        <v>2-1-A</v>
      </c>
      <c r="E8" s="76" t="str">
        <f t="shared" si="9"/>
        <v>DIRETTORE DI MACCHINA-Direttore di Macchina</v>
      </c>
      <c r="F8" s="76" t="str">
        <f t="shared" si="3"/>
        <v>DIRETTORE DI MACCHINA-A-Direttore di Macchina</v>
      </c>
      <c r="G8" s="76" t="str">
        <f t="shared" si="10"/>
        <v>1-DIRETTORE DI MACCHINA-A</v>
      </c>
      <c r="H8" s="76" t="str">
        <f t="shared" si="11"/>
        <v>A-DIRETTORE DI MACCHINA-2-1-A</v>
      </c>
      <c r="I8" s="76">
        <f t="shared" si="4"/>
        <v>2</v>
      </c>
      <c r="J8" s="76">
        <f>COUNTIF($A$6:A8,"="&amp;A8)</f>
        <v>1</v>
      </c>
      <c r="K8" s="76" t="str">
        <f>EDR1!D38</f>
        <v>DIRETTORE DI MACCHINA</v>
      </c>
      <c r="L8" s="76" t="str">
        <f>EDR1!C38</f>
        <v>A</v>
      </c>
      <c r="M8" s="76" t="str">
        <f>EDR1!E38</f>
        <v>Direttore di Macchina</v>
      </c>
      <c r="N8" s="77" t="s">
        <v>410</v>
      </c>
      <c r="O8" s="78">
        <f>VLOOKUP($E$3&amp;$K$2&amp;$E$2&amp;$K$2&amp;$E$4,EDR1!$A$36:$I$267,9,FALSE)</f>
        <v>176.09949446616451</v>
      </c>
      <c r="P8" s="82">
        <f>VLOOKUP(L8&amp;$K$2&amp;K8&amp;$K$2&amp;M8,EDR1!$A$36:$Q$268,16,FALSE)</f>
        <v>30</v>
      </c>
      <c r="Q8" s="82">
        <f>VLOOKUP(L8&amp;$K$2&amp;K8&amp;$K$2&amp;M8,EDR1!$A$36:$Q$268,17,FALSE)</f>
        <v>62</v>
      </c>
      <c r="R8" s="77">
        <f t="shared" si="5"/>
        <v>3</v>
      </c>
      <c r="S8" s="80" t="str">
        <f t="shared" si="6"/>
        <v>PROFESSIONAL SENIOR </v>
      </c>
      <c r="T8" s="77" t="str">
        <f t="shared" si="7"/>
        <v>A</v>
      </c>
      <c r="U8" s="76"/>
      <c r="V8" s="76"/>
      <c r="W8" s="77">
        <f t="shared" si="12"/>
        <v>3</v>
      </c>
      <c r="X8" s="80" t="str">
        <f t="shared" si="13"/>
        <v>Capo Settore Macchina</v>
      </c>
      <c r="Y8" s="80"/>
      <c r="Z8" s="77"/>
      <c r="AA8" s="76"/>
      <c r="AB8" s="76"/>
      <c r="AC8" s="76"/>
      <c r="AD8" s="76"/>
      <c r="AE8" s="76"/>
      <c r="AF8" s="76"/>
      <c r="AG8" s="76"/>
    </row>
    <row r="9" spans="1:33" ht="12.75" hidden="1">
      <c r="A9" s="76" t="str">
        <f t="shared" si="8"/>
        <v>A-DIRETTORE DI MACCHINA</v>
      </c>
      <c r="B9" s="81" t="str">
        <f t="shared" si="1"/>
        <v>2-A</v>
      </c>
      <c r="C9" s="81">
        <f>COUNTIF($B$6:B9,"="&amp;B9)</f>
        <v>2</v>
      </c>
      <c r="D9" s="81" t="str">
        <f t="shared" si="2"/>
        <v>2-2-A</v>
      </c>
      <c r="E9" s="76" t="str">
        <f t="shared" si="9"/>
        <v>DIRETTORE DI MACCHINA-Ex profilo non previsto</v>
      </c>
      <c r="F9" s="76" t="str">
        <f t="shared" si="3"/>
        <v>DIRETTORE DI MACCHINA-A-Ex profilo non previsto</v>
      </c>
      <c r="G9" s="76" t="str">
        <f t="shared" si="10"/>
        <v>2-DIRETTORE DI MACCHINA-A</v>
      </c>
      <c r="H9" s="76" t="str">
        <f t="shared" si="11"/>
        <v>A-DIRETTORE DI MACCHINA-2-2-A</v>
      </c>
      <c r="I9" s="76">
        <f t="shared" si="4"/>
        <v>2</v>
      </c>
      <c r="J9" s="76">
        <f>COUNTIF($A$6:A9,"="&amp;A9)</f>
        <v>2</v>
      </c>
      <c r="K9" s="76" t="str">
        <f>EDR1!D39</f>
        <v>DIRETTORE DI MACCHINA</v>
      </c>
      <c r="L9" s="76" t="str">
        <f>EDR1!C39</f>
        <v>A</v>
      </c>
      <c r="M9" s="76" t="str">
        <f>EDR1!E39</f>
        <v>Ex profilo non previsto</v>
      </c>
      <c r="N9" s="77" t="s">
        <v>136</v>
      </c>
      <c r="O9" s="78">
        <f>IF(ISNA(IF($F$2=$AC$21,VLOOKUP($E$3,EDR1!$C$3:$K$13,7,FALSE),VLOOKUP($E$3,EDR1!$C$3:$K$13,9,FALSE))),"0",IF($F$2=$AC$21,VLOOKUP($E$3,EDR1!$C$3:$K$13,7,FALSE),VLOOKUP($E$3,EDR1!$C$3:$K$13,9,FALSE)))</f>
        <v>325</v>
      </c>
      <c r="P9" s="82">
        <f>VLOOKUP(L9&amp;$K$2&amp;K9&amp;$K$2&amp;M9,EDR1!$A$36:$Q$268,16,FALSE)</f>
        <v>30</v>
      </c>
      <c r="Q9" s="82">
        <f>VLOOKUP(L9&amp;$K$2&amp;K9&amp;$K$2&amp;M9,EDR1!$A$36:$Q$268,17,FALSE)</f>
        <v>62</v>
      </c>
      <c r="R9" s="77">
        <f t="shared" si="5"/>
        <v>4</v>
      </c>
      <c r="S9" s="80" t="str">
        <f t="shared" si="6"/>
        <v>PROFESSIONAL SENIOR (SETTORE MACCHINA)</v>
      </c>
      <c r="T9" s="77" t="str">
        <f t="shared" si="7"/>
        <v>A</v>
      </c>
      <c r="U9" s="76"/>
      <c r="V9" s="76"/>
      <c r="W9" s="77">
        <f t="shared" si="12"/>
        <v>4</v>
      </c>
      <c r="X9" s="80" t="str">
        <f t="shared" si="13"/>
        <v>Capo Settore Stazioni</v>
      </c>
      <c r="Y9" s="80"/>
      <c r="Z9" s="77"/>
      <c r="AA9" s="76"/>
      <c r="AB9" s="77" t="s">
        <v>344</v>
      </c>
      <c r="AC9" s="76"/>
      <c r="AD9" s="76"/>
      <c r="AE9" s="76"/>
      <c r="AF9" s="76"/>
      <c r="AG9" s="76"/>
    </row>
    <row r="10" spans="1:33" ht="12.75" hidden="1">
      <c r="A10" s="76" t="str">
        <f t="shared" si="8"/>
        <v>A-PROFESSIONAL SENIOR </v>
      </c>
      <c r="B10" s="81" t="str">
        <f t="shared" si="1"/>
        <v>1-A</v>
      </c>
      <c r="C10" s="81">
        <f>COUNTIF($B$6:B10,"="&amp;B10)</f>
        <v>3</v>
      </c>
      <c r="D10" s="81" t="str">
        <f t="shared" si="2"/>
        <v>3-1-A</v>
      </c>
      <c r="E10" s="76" t="str">
        <f t="shared" si="9"/>
        <v>PROFESSIONAL SENIOR -Capo Settore Controlleria</v>
      </c>
      <c r="F10" s="76" t="str">
        <f t="shared" si="3"/>
        <v>PROFESSIONAL SENIOR -A-Capo Settore Controlleria</v>
      </c>
      <c r="G10" s="76" t="str">
        <f t="shared" si="10"/>
        <v>1-PROFESSIONAL SENIOR -A</v>
      </c>
      <c r="H10" s="76" t="str">
        <f t="shared" si="11"/>
        <v>A-PROFESSIONAL SENIOR -3-1-A</v>
      </c>
      <c r="I10" s="76">
        <f t="shared" si="4"/>
        <v>3</v>
      </c>
      <c r="J10" s="76">
        <f>COUNTIF($A$6:A10,"="&amp;A10)</f>
        <v>1</v>
      </c>
      <c r="K10" s="76" t="str">
        <f>EDR1!D40</f>
        <v>PROFESSIONAL SENIOR </v>
      </c>
      <c r="L10" s="76" t="str">
        <f>EDR1!C40</f>
        <v>A</v>
      </c>
      <c r="M10" s="76" t="str">
        <f>EDR1!E40</f>
        <v>Capo Settore Controlleria</v>
      </c>
      <c r="N10" s="76"/>
      <c r="O10" s="76"/>
      <c r="P10" s="82">
        <f>VLOOKUP(L10&amp;$K$2&amp;K10&amp;$K$2&amp;M10,EDR1!$A$36:$Q$268,16,FALSE)</f>
        <v>30</v>
      </c>
      <c r="Q10" s="82">
        <f>VLOOKUP(L10&amp;$K$2&amp;K10&amp;$K$2&amp;M10,EDR1!$A$36:$Q$268,17,FALSE)</f>
        <v>65</v>
      </c>
      <c r="R10" s="77">
        <f t="shared" si="5"/>
        <v>5</v>
      </c>
      <c r="S10" s="80" t="str">
        <f t="shared" si="6"/>
        <v>RESPONSABILE STRUTTURA OPERATIVA </v>
      </c>
      <c r="T10" s="77" t="str">
        <f t="shared" si="7"/>
        <v>A</v>
      </c>
      <c r="U10" s="76"/>
      <c r="V10" s="76"/>
      <c r="W10" s="77">
        <f t="shared" si="12"/>
        <v>5</v>
      </c>
      <c r="X10" s="80" t="str">
        <f t="shared" si="13"/>
        <v>Capo Settore Tecnico</v>
      </c>
      <c r="Y10" s="80"/>
      <c r="Z10" s="77"/>
      <c r="AA10" s="76"/>
      <c r="AB10" s="77">
        <v>0</v>
      </c>
      <c r="AC10" s="76"/>
      <c r="AD10" s="76"/>
      <c r="AE10" s="76"/>
      <c r="AF10" s="76"/>
      <c r="AG10" s="76"/>
    </row>
    <row r="11" spans="1:33" ht="12.75" hidden="1">
      <c r="A11" s="76" t="str">
        <f t="shared" si="8"/>
        <v>A-PROFESSIONAL SENIOR </v>
      </c>
      <c r="B11" s="81" t="str">
        <f t="shared" si="1"/>
        <v>2-A</v>
      </c>
      <c r="C11" s="81">
        <f>COUNTIF($B$6:B11,"="&amp;B11)</f>
        <v>3</v>
      </c>
      <c r="D11" s="81" t="str">
        <f t="shared" si="2"/>
        <v>3-2-A</v>
      </c>
      <c r="E11" s="76" t="str">
        <f t="shared" si="9"/>
        <v>PROFESSIONAL SENIOR -Capo Settore Gestioni</v>
      </c>
      <c r="F11" s="76" t="str">
        <f t="shared" si="3"/>
        <v>PROFESSIONAL SENIOR -A-Capo Settore Gestioni</v>
      </c>
      <c r="G11" s="76" t="str">
        <f t="shared" si="10"/>
        <v>2-PROFESSIONAL SENIOR -A</v>
      </c>
      <c r="H11" s="76" t="str">
        <f t="shared" si="11"/>
        <v>A-PROFESSIONAL SENIOR -3-2-A</v>
      </c>
      <c r="I11" s="76">
        <f t="shared" si="4"/>
        <v>3</v>
      </c>
      <c r="J11" s="76">
        <f>COUNTIF($A$6:A11,"="&amp;A11)</f>
        <v>2</v>
      </c>
      <c r="K11" s="76" t="str">
        <f>EDR1!D41</f>
        <v>PROFESSIONAL SENIOR </v>
      </c>
      <c r="L11" s="76" t="str">
        <f>EDR1!C41</f>
        <v>A</v>
      </c>
      <c r="M11" s="76" t="str">
        <f>EDR1!E41</f>
        <v>Capo Settore Gestioni</v>
      </c>
      <c r="N11" s="76"/>
      <c r="O11" s="76"/>
      <c r="P11" s="82">
        <f>VLOOKUP(L11&amp;$K$2&amp;K11&amp;$K$2&amp;M11,EDR1!$A$36:$Q$268,16,FALSE)</f>
        <v>30</v>
      </c>
      <c r="Q11" s="82">
        <f>VLOOKUP(L11&amp;$K$2&amp;K11&amp;$K$2&amp;M11,EDR1!$A$36:$Q$268,17,FALSE)</f>
        <v>65</v>
      </c>
      <c r="R11" s="77">
        <f t="shared" si="5"/>
        <v>6</v>
      </c>
      <c r="S11" s="80">
        <f t="shared" si="6"/>
      </c>
      <c r="T11" s="77">
        <f t="shared" si="7"/>
      </c>
      <c r="U11" s="76"/>
      <c r="V11" s="76"/>
      <c r="W11" s="77">
        <f t="shared" si="12"/>
        <v>6</v>
      </c>
      <c r="X11" s="80" t="str">
        <f t="shared" si="13"/>
        <v>Capo Settore Uffici</v>
      </c>
      <c r="Y11" s="80"/>
      <c r="Z11" s="77"/>
      <c r="AA11" s="76"/>
      <c r="AB11" s="77">
        <v>1</v>
      </c>
      <c r="AC11" s="76"/>
      <c r="AD11" s="76"/>
      <c r="AE11" s="76"/>
      <c r="AF11" s="76"/>
      <c r="AG11" s="76"/>
    </row>
    <row r="12" spans="1:33" ht="12.75" hidden="1">
      <c r="A12" s="76" t="str">
        <f t="shared" si="8"/>
        <v>A-PROFESSIONAL SENIOR </v>
      </c>
      <c r="B12" s="81" t="str">
        <f t="shared" si="1"/>
        <v>3-A</v>
      </c>
      <c r="C12" s="81">
        <f>COUNTIF($B$6:B12,"="&amp;B12)</f>
        <v>1</v>
      </c>
      <c r="D12" s="81" t="str">
        <f t="shared" si="2"/>
        <v>1-3-A</v>
      </c>
      <c r="E12" s="76" t="str">
        <f t="shared" si="9"/>
        <v>PROFESSIONAL SENIOR -Capo Settore Macchina</v>
      </c>
      <c r="F12" s="76" t="str">
        <f t="shared" si="3"/>
        <v>PROFESSIONAL SENIOR -A-Capo Settore Macchina</v>
      </c>
      <c r="G12" s="76" t="str">
        <f t="shared" si="10"/>
        <v>3-PROFESSIONAL SENIOR -A</v>
      </c>
      <c r="H12" s="76" t="str">
        <f t="shared" si="11"/>
        <v>A-PROFESSIONAL SENIOR -1-3-A</v>
      </c>
      <c r="I12" s="76">
        <f t="shared" si="4"/>
        <v>3</v>
      </c>
      <c r="J12" s="76">
        <f>COUNTIF($A$6:A12,"="&amp;A12)</f>
        <v>3</v>
      </c>
      <c r="K12" s="76" t="str">
        <f>EDR1!D42</f>
        <v>PROFESSIONAL SENIOR </v>
      </c>
      <c r="L12" s="76" t="str">
        <f>EDR1!C42</f>
        <v>A</v>
      </c>
      <c r="M12" s="76" t="str">
        <f>EDR1!E42</f>
        <v>Capo Settore Macchina</v>
      </c>
      <c r="N12" s="76"/>
      <c r="O12" s="76"/>
      <c r="P12" s="82">
        <f>VLOOKUP(L12&amp;$K$2&amp;K12&amp;$K$2&amp;M12,EDR1!$A$36:$Q$268,16,FALSE)</f>
        <v>30</v>
      </c>
      <c r="Q12" s="82">
        <f>VLOOKUP(L12&amp;$K$2&amp;K12&amp;$K$2&amp;M12,EDR1!$A$36:$Q$268,17,FALSE)</f>
        <v>65</v>
      </c>
      <c r="R12" s="77">
        <f t="shared" si="5"/>
        <v>7</v>
      </c>
      <c r="S12" s="80">
        <f t="shared" si="6"/>
      </c>
      <c r="T12" s="77">
        <f t="shared" si="7"/>
      </c>
      <c r="U12" s="76"/>
      <c r="V12" s="76"/>
      <c r="W12" s="77">
        <f t="shared" si="12"/>
        <v>7</v>
      </c>
      <c r="X12" s="80" t="str">
        <f t="shared" si="13"/>
        <v>Capo Settore Viaggiante</v>
      </c>
      <c r="Y12" s="80"/>
      <c r="Z12" s="77"/>
      <c r="AA12" s="76"/>
      <c r="AB12" s="77">
        <v>2</v>
      </c>
      <c r="AC12" s="76"/>
      <c r="AD12" s="76"/>
      <c r="AE12" s="76"/>
      <c r="AF12" s="76"/>
      <c r="AG12" s="76"/>
    </row>
    <row r="13" spans="1:33" ht="12.75" hidden="1">
      <c r="A13" s="76" t="str">
        <f t="shared" si="8"/>
        <v>A-PROFESSIONAL SENIOR </v>
      </c>
      <c r="B13" s="81" t="str">
        <f t="shared" si="1"/>
        <v>4-A</v>
      </c>
      <c r="C13" s="81">
        <f>COUNTIF($B$6:B13,"="&amp;B13)</f>
        <v>1</v>
      </c>
      <c r="D13" s="81" t="str">
        <f t="shared" si="2"/>
        <v>1-4-A</v>
      </c>
      <c r="E13" s="76" t="str">
        <f t="shared" si="9"/>
        <v>PROFESSIONAL SENIOR -Capo Settore Stazioni</v>
      </c>
      <c r="F13" s="76" t="str">
        <f t="shared" si="3"/>
        <v>PROFESSIONAL SENIOR -A-Capo Settore Stazioni</v>
      </c>
      <c r="G13" s="76" t="str">
        <f t="shared" si="10"/>
        <v>4-PROFESSIONAL SENIOR -A</v>
      </c>
      <c r="H13" s="76" t="str">
        <f t="shared" si="11"/>
        <v>A-PROFESSIONAL SENIOR -1-4-A</v>
      </c>
      <c r="I13" s="76">
        <f t="shared" si="4"/>
        <v>3</v>
      </c>
      <c r="J13" s="76">
        <f>COUNTIF($A$6:A13,"="&amp;A13)</f>
        <v>4</v>
      </c>
      <c r="K13" s="76" t="str">
        <f>EDR1!D43</f>
        <v>PROFESSIONAL SENIOR </v>
      </c>
      <c r="L13" s="76" t="str">
        <f>EDR1!C43</f>
        <v>A</v>
      </c>
      <c r="M13" s="76" t="str">
        <f>EDR1!E43</f>
        <v>Capo Settore Stazioni</v>
      </c>
      <c r="N13" s="76"/>
      <c r="O13" s="76"/>
      <c r="P13" s="82">
        <f>VLOOKUP(L13&amp;$K$2&amp;K13&amp;$K$2&amp;M13,EDR1!$A$36:$Q$268,16,FALSE)</f>
        <v>30</v>
      </c>
      <c r="Q13" s="82">
        <f>VLOOKUP(L13&amp;$K$2&amp;K13&amp;$K$2&amp;M13,EDR1!$A$36:$Q$268,17,FALSE)</f>
        <v>65</v>
      </c>
      <c r="R13" s="77">
        <f t="shared" si="5"/>
        <v>8</v>
      </c>
      <c r="S13" s="80">
        <f t="shared" si="6"/>
      </c>
      <c r="T13" s="77">
        <f t="shared" si="7"/>
      </c>
      <c r="U13" s="76"/>
      <c r="V13" s="76"/>
      <c r="W13" s="77">
        <f t="shared" si="12"/>
        <v>8</v>
      </c>
      <c r="X13" s="80" t="str">
        <f t="shared" si="13"/>
        <v>Ispettore Capo Aggiunto</v>
      </c>
      <c r="Y13" s="80"/>
      <c r="Z13" s="77"/>
      <c r="AA13" s="76"/>
      <c r="AB13" s="77">
        <v>3</v>
      </c>
      <c r="AC13" s="76"/>
      <c r="AD13" s="76"/>
      <c r="AE13" s="76"/>
      <c r="AF13" s="76"/>
      <c r="AG13" s="76"/>
    </row>
    <row r="14" spans="1:33" ht="12.75" hidden="1">
      <c r="A14" s="76" t="str">
        <f t="shared" si="8"/>
        <v>A-PROFESSIONAL SENIOR </v>
      </c>
      <c r="B14" s="81" t="str">
        <f t="shared" si="1"/>
        <v>5-A</v>
      </c>
      <c r="C14" s="81">
        <f>COUNTIF($B$6:B14,"="&amp;B14)</f>
        <v>1</v>
      </c>
      <c r="D14" s="81" t="str">
        <f t="shared" si="2"/>
        <v>1-5-A</v>
      </c>
      <c r="E14" s="76" t="str">
        <f t="shared" si="9"/>
        <v>PROFESSIONAL SENIOR -Capo Settore Tecnico</v>
      </c>
      <c r="F14" s="76" t="str">
        <f t="shared" si="3"/>
        <v>PROFESSIONAL SENIOR -A-Capo Settore Tecnico</v>
      </c>
      <c r="G14" s="76" t="str">
        <f t="shared" si="10"/>
        <v>5-PROFESSIONAL SENIOR -A</v>
      </c>
      <c r="H14" s="76" t="str">
        <f t="shared" si="11"/>
        <v>A-PROFESSIONAL SENIOR -1-5-A</v>
      </c>
      <c r="I14" s="76">
        <f t="shared" si="4"/>
        <v>3</v>
      </c>
      <c r="J14" s="76">
        <f>COUNTIF($A$6:A14,"="&amp;A14)</f>
        <v>5</v>
      </c>
      <c r="K14" s="76" t="str">
        <f>EDR1!D44</f>
        <v>PROFESSIONAL SENIOR </v>
      </c>
      <c r="L14" s="76" t="str">
        <f>EDR1!C44</f>
        <v>A</v>
      </c>
      <c r="M14" s="76" t="str">
        <f>EDR1!E44</f>
        <v>Capo Settore Tecnico</v>
      </c>
      <c r="N14" s="76"/>
      <c r="O14" s="76"/>
      <c r="P14" s="82">
        <f>VLOOKUP(L14&amp;$K$2&amp;K14&amp;$K$2&amp;M14,EDR1!$A$36:$Q$268,16,FALSE)</f>
        <v>30</v>
      </c>
      <c r="Q14" s="82">
        <f>VLOOKUP(L14&amp;$K$2&amp;K14&amp;$K$2&amp;M14,EDR1!$A$36:$Q$268,17,FALSE)</f>
        <v>65</v>
      </c>
      <c r="R14" s="77">
        <f t="shared" si="5"/>
        <v>9</v>
      </c>
      <c r="S14" s="80">
        <f t="shared" si="6"/>
      </c>
      <c r="T14" s="77">
        <f t="shared" si="7"/>
      </c>
      <c r="U14" s="76"/>
      <c r="V14" s="76"/>
      <c r="W14" s="77">
        <f t="shared" si="12"/>
        <v>9</v>
      </c>
      <c r="X14" s="80" t="str">
        <f t="shared" si="13"/>
        <v>Ex profilo non previsto</v>
      </c>
      <c r="Y14" s="80"/>
      <c r="Z14" s="77"/>
      <c r="AA14" s="76"/>
      <c r="AB14" s="77">
        <v>4</v>
      </c>
      <c r="AC14" s="76"/>
      <c r="AD14" s="76"/>
      <c r="AE14" s="76"/>
      <c r="AF14" s="76"/>
      <c r="AG14" s="76"/>
    </row>
    <row r="15" spans="1:33" ht="12.75" hidden="1">
      <c r="A15" s="76" t="str">
        <f t="shared" si="8"/>
        <v>A-PROFESSIONAL SENIOR </v>
      </c>
      <c r="B15" s="81" t="str">
        <f t="shared" si="1"/>
        <v>6-A</v>
      </c>
      <c r="C15" s="81">
        <f>COUNTIF($B$6:B15,"="&amp;B15)</f>
        <v>1</v>
      </c>
      <c r="D15" s="81" t="str">
        <f t="shared" si="2"/>
        <v>1-6-A</v>
      </c>
      <c r="E15" s="76" t="str">
        <f t="shared" si="9"/>
        <v>PROFESSIONAL SENIOR -Capo Settore Uffici</v>
      </c>
      <c r="F15" s="76" t="str">
        <f t="shared" si="3"/>
        <v>PROFESSIONAL SENIOR -A-Capo Settore Uffici</v>
      </c>
      <c r="G15" s="76" t="str">
        <f t="shared" si="10"/>
        <v>6-PROFESSIONAL SENIOR -A</v>
      </c>
      <c r="H15" s="76" t="str">
        <f t="shared" si="11"/>
        <v>A-PROFESSIONAL SENIOR -1-6-A</v>
      </c>
      <c r="I15" s="76">
        <f t="shared" si="4"/>
        <v>3</v>
      </c>
      <c r="J15" s="76">
        <f>COUNTIF($A$6:A15,"="&amp;A15)</f>
        <v>6</v>
      </c>
      <c r="K15" s="76" t="str">
        <f>EDR1!D45</f>
        <v>PROFESSIONAL SENIOR </v>
      </c>
      <c r="L15" s="76" t="str">
        <f>EDR1!C45</f>
        <v>A</v>
      </c>
      <c r="M15" s="76" t="str">
        <f>EDR1!E45</f>
        <v>Capo Settore Uffici</v>
      </c>
      <c r="N15" s="76"/>
      <c r="O15" s="76"/>
      <c r="P15" s="82">
        <f>VLOOKUP(L15&amp;$K$2&amp;K15&amp;$K$2&amp;M15,EDR1!$A$36:$Q$268,16,FALSE)</f>
        <v>30</v>
      </c>
      <c r="Q15" s="82">
        <f>VLOOKUP(L15&amp;$K$2&amp;K15&amp;$K$2&amp;M15,EDR1!$A$36:$Q$268,17,FALSE)</f>
        <v>65</v>
      </c>
      <c r="R15" s="77">
        <f t="shared" si="5"/>
        <v>10</v>
      </c>
      <c r="S15" s="80">
        <f t="shared" si="6"/>
      </c>
      <c r="T15" s="77">
        <f t="shared" si="7"/>
      </c>
      <c r="U15" s="76"/>
      <c r="V15" s="76"/>
      <c r="W15" s="77">
        <f t="shared" si="12"/>
        <v>10</v>
      </c>
      <c r="X15" s="80">
        <f t="shared" si="13"/>
      </c>
      <c r="Y15" s="80"/>
      <c r="Z15" s="77"/>
      <c r="AA15" s="76"/>
      <c r="AB15" s="77">
        <v>5</v>
      </c>
      <c r="AC15" s="76"/>
      <c r="AD15" s="76"/>
      <c r="AE15" s="76"/>
      <c r="AF15" s="76"/>
      <c r="AG15" s="76"/>
    </row>
    <row r="16" spans="1:33" ht="12.75" hidden="1">
      <c r="A16" s="76" t="str">
        <f t="shared" si="8"/>
        <v>A-PROFESSIONAL SENIOR </v>
      </c>
      <c r="B16" s="81" t="str">
        <f t="shared" si="1"/>
        <v>7-A</v>
      </c>
      <c r="C16" s="81">
        <f>COUNTIF($B$6:B16,"="&amp;B16)</f>
        <v>1</v>
      </c>
      <c r="D16" s="81" t="str">
        <f t="shared" si="2"/>
        <v>1-7-A</v>
      </c>
      <c r="E16" s="76" t="str">
        <f t="shared" si="9"/>
        <v>PROFESSIONAL SENIOR -Capo Settore Viaggiante</v>
      </c>
      <c r="F16" s="76" t="str">
        <f t="shared" si="3"/>
        <v>PROFESSIONAL SENIOR -A-Capo Settore Viaggiante</v>
      </c>
      <c r="G16" s="76" t="str">
        <f t="shared" si="10"/>
        <v>7-PROFESSIONAL SENIOR -A</v>
      </c>
      <c r="H16" s="76" t="str">
        <f t="shared" si="11"/>
        <v>A-PROFESSIONAL SENIOR -1-7-A</v>
      </c>
      <c r="I16" s="76">
        <f t="shared" si="4"/>
        <v>3</v>
      </c>
      <c r="J16" s="76">
        <f>COUNTIF($A$6:A16,"="&amp;A16)</f>
        <v>7</v>
      </c>
      <c r="K16" s="76" t="str">
        <f>EDR1!D46</f>
        <v>PROFESSIONAL SENIOR </v>
      </c>
      <c r="L16" s="76" t="str">
        <f>EDR1!C46</f>
        <v>A</v>
      </c>
      <c r="M16" s="76" t="str">
        <f>EDR1!E46</f>
        <v>Capo Settore Viaggiante</v>
      </c>
      <c r="N16" s="76"/>
      <c r="O16" s="76"/>
      <c r="P16" s="82">
        <f>VLOOKUP(L16&amp;$K$2&amp;K16&amp;$K$2&amp;M16,EDR1!$A$36:$Q$268,16,FALSE)</f>
        <v>30</v>
      </c>
      <c r="Q16" s="82">
        <f>VLOOKUP(L16&amp;$K$2&amp;K16&amp;$K$2&amp;M16,EDR1!$A$36:$Q$268,17,FALSE)</f>
        <v>65</v>
      </c>
      <c r="R16" s="77">
        <f t="shared" si="5"/>
        <v>11</v>
      </c>
      <c r="S16" s="80">
        <f t="shared" si="6"/>
      </c>
      <c r="T16" s="77">
        <f t="shared" si="7"/>
      </c>
      <c r="U16" s="76"/>
      <c r="V16" s="76"/>
      <c r="W16" s="77">
        <f t="shared" si="12"/>
        <v>11</v>
      </c>
      <c r="X16" s="80">
        <f t="shared" si="13"/>
      </c>
      <c r="Y16" s="80"/>
      <c r="Z16" s="77"/>
      <c r="AA16" s="76"/>
      <c r="AB16" s="77">
        <v>6</v>
      </c>
      <c r="AC16" s="76"/>
      <c r="AD16" s="76"/>
      <c r="AE16" s="76"/>
      <c r="AF16" s="76"/>
      <c r="AG16" s="76"/>
    </row>
    <row r="17" spans="1:33" ht="12.75" hidden="1">
      <c r="A17" s="76" t="str">
        <f t="shared" si="8"/>
        <v>A-PROFESSIONAL SENIOR </v>
      </c>
      <c r="B17" s="81" t="str">
        <f t="shared" si="1"/>
        <v>8-A</v>
      </c>
      <c r="C17" s="81">
        <f>COUNTIF($B$6:B17,"="&amp;B17)</f>
        <v>1</v>
      </c>
      <c r="D17" s="81" t="str">
        <f t="shared" si="2"/>
        <v>1-8-A</v>
      </c>
      <c r="E17" s="76" t="str">
        <f t="shared" si="9"/>
        <v>PROFESSIONAL SENIOR -Ispettore Capo Aggiunto</v>
      </c>
      <c r="F17" s="76" t="str">
        <f t="shared" si="3"/>
        <v>PROFESSIONAL SENIOR -A-Ispettore Capo Aggiunto</v>
      </c>
      <c r="G17" s="76" t="str">
        <f t="shared" si="10"/>
        <v>8-PROFESSIONAL SENIOR -A</v>
      </c>
      <c r="H17" s="76" t="str">
        <f t="shared" si="11"/>
        <v>A-PROFESSIONAL SENIOR -1-8-A</v>
      </c>
      <c r="I17" s="76">
        <f t="shared" si="4"/>
        <v>3</v>
      </c>
      <c r="J17" s="76">
        <f>COUNTIF($A$6:A17,"="&amp;A17)</f>
        <v>8</v>
      </c>
      <c r="K17" s="76" t="str">
        <f>EDR1!D47</f>
        <v>PROFESSIONAL SENIOR </v>
      </c>
      <c r="L17" s="76" t="str">
        <f>EDR1!C47</f>
        <v>A</v>
      </c>
      <c r="M17" s="76" t="str">
        <f>EDR1!E47</f>
        <v>Ispettore Capo Aggiunto</v>
      </c>
      <c r="N17" s="76"/>
      <c r="O17" s="76"/>
      <c r="P17" s="82">
        <f>VLOOKUP(L17&amp;$K$2&amp;K17&amp;$K$2&amp;M17,EDR1!$A$36:$Q$268,16,FALSE)</f>
        <v>30</v>
      </c>
      <c r="Q17" s="82">
        <f>VLOOKUP(L17&amp;$K$2&amp;K17&amp;$K$2&amp;M17,EDR1!$A$36:$Q$268,17,FALSE)</f>
        <v>65</v>
      </c>
      <c r="R17" s="77">
        <f t="shared" si="5"/>
        <v>12</v>
      </c>
      <c r="S17" s="80">
        <f t="shared" si="6"/>
      </c>
      <c r="T17" s="77">
        <f t="shared" si="7"/>
      </c>
      <c r="U17" s="76"/>
      <c r="V17" s="76"/>
      <c r="W17" s="77">
        <f t="shared" si="12"/>
        <v>12</v>
      </c>
      <c r="X17" s="80">
        <f t="shared" si="13"/>
      </c>
      <c r="Y17" s="80"/>
      <c r="Z17" s="77"/>
      <c r="AA17" s="76"/>
      <c r="AB17" s="77">
        <v>7</v>
      </c>
      <c r="AC17" s="76"/>
      <c r="AD17" s="76"/>
      <c r="AE17" s="76"/>
      <c r="AF17" s="76"/>
      <c r="AG17" s="76"/>
    </row>
    <row r="18" spans="1:33" ht="12.75" hidden="1">
      <c r="A18" s="76" t="str">
        <f t="shared" si="8"/>
        <v>A-PROFESSIONAL SENIOR </v>
      </c>
      <c r="B18" s="81" t="str">
        <f t="shared" si="1"/>
        <v>9-A</v>
      </c>
      <c r="C18" s="81">
        <f>COUNTIF($B$6:B18,"="&amp;B18)</f>
        <v>1</v>
      </c>
      <c r="D18" s="81" t="str">
        <f t="shared" si="2"/>
        <v>1-9-A</v>
      </c>
      <c r="E18" s="76" t="str">
        <f t="shared" si="9"/>
        <v>PROFESSIONAL SENIOR -Ex profilo non previsto</v>
      </c>
      <c r="F18" s="76" t="str">
        <f t="shared" si="3"/>
        <v>PROFESSIONAL SENIOR -A-Ex profilo non previsto</v>
      </c>
      <c r="G18" s="76" t="str">
        <f t="shared" si="10"/>
        <v>9-PROFESSIONAL SENIOR -A</v>
      </c>
      <c r="H18" s="76" t="str">
        <f t="shared" si="11"/>
        <v>A-PROFESSIONAL SENIOR -1-9-A</v>
      </c>
      <c r="I18" s="76">
        <f t="shared" si="4"/>
        <v>3</v>
      </c>
      <c r="J18" s="76">
        <f>COUNTIF($A$6:A18,"="&amp;A18)</f>
        <v>9</v>
      </c>
      <c r="K18" s="76" t="str">
        <f>EDR1!D48</f>
        <v>PROFESSIONAL SENIOR </v>
      </c>
      <c r="L18" s="76" t="str">
        <f>EDR1!C48</f>
        <v>A</v>
      </c>
      <c r="M18" s="76" t="str">
        <f>EDR1!E48</f>
        <v>Ex profilo non previsto</v>
      </c>
      <c r="N18" s="76"/>
      <c r="O18" s="76"/>
      <c r="P18" s="82">
        <f>VLOOKUP(L18&amp;$K$2&amp;K18&amp;$K$2&amp;M18,EDR1!$A$36:$Q$268,16,FALSE)</f>
        <v>30</v>
      </c>
      <c r="Q18" s="82">
        <f>VLOOKUP(L18&amp;$K$2&amp;K18&amp;$K$2&amp;M18,EDR1!$A$36:$Q$268,17,FALSE)</f>
        <v>65</v>
      </c>
      <c r="R18" s="77">
        <f t="shared" si="5"/>
        <v>13</v>
      </c>
      <c r="S18" s="80">
        <f t="shared" si="6"/>
      </c>
      <c r="T18" s="77">
        <f t="shared" si="7"/>
      </c>
      <c r="U18" s="76"/>
      <c r="V18" s="76"/>
      <c r="W18" s="77">
        <f t="shared" si="12"/>
        <v>13</v>
      </c>
      <c r="X18" s="80">
        <f t="shared" si="13"/>
      </c>
      <c r="Y18" s="80"/>
      <c r="Z18" s="77"/>
      <c r="AA18" s="76"/>
      <c r="AB18" s="77"/>
      <c r="AC18" s="77"/>
      <c r="AD18" s="76"/>
      <c r="AE18" s="76"/>
      <c r="AF18" s="76"/>
      <c r="AG18" s="76"/>
    </row>
    <row r="19" spans="1:33" ht="12.75" hidden="1">
      <c r="A19" s="76" t="str">
        <f t="shared" si="8"/>
        <v>A-PROFESSIONAL SENIOR (SETTORE MACCHINA)</v>
      </c>
      <c r="B19" s="81" t="str">
        <f t="shared" si="1"/>
        <v>1-A</v>
      </c>
      <c r="C19" s="81">
        <f>COUNTIF($B$6:B19,"="&amp;B19)</f>
        <v>4</v>
      </c>
      <c r="D19" s="81" t="str">
        <f t="shared" si="2"/>
        <v>4-1-A</v>
      </c>
      <c r="E19" s="76" t="str">
        <f t="shared" si="9"/>
        <v>PROFESSIONAL SENIOR (SETTORE MACCHINA)-Ex profilo non previsto</v>
      </c>
      <c r="F19" s="76" t="str">
        <f t="shared" si="3"/>
        <v>PROFESSIONAL SENIOR (SETTORE MACCHINA)-A-Ex profilo non previsto</v>
      </c>
      <c r="G19" s="76" t="str">
        <f t="shared" si="10"/>
        <v>1-PROFESSIONAL SENIOR (SETTORE MACCHINA)-A</v>
      </c>
      <c r="H19" s="76" t="str">
        <f t="shared" si="11"/>
        <v>A-PROFESSIONAL SENIOR (SETTORE MACCHINA)-4-1-A</v>
      </c>
      <c r="I19" s="76">
        <f t="shared" si="4"/>
        <v>4</v>
      </c>
      <c r="J19" s="76">
        <f>COUNTIF($A$6:A19,"="&amp;A19)</f>
        <v>1</v>
      </c>
      <c r="K19" s="76" t="str">
        <f>EDR1!D49</f>
        <v>PROFESSIONAL SENIOR (SETTORE MACCHINA)</v>
      </c>
      <c r="L19" s="76" t="str">
        <f>EDR1!C49</f>
        <v>A</v>
      </c>
      <c r="M19" s="76" t="str">
        <f>EDR1!E49</f>
        <v>Ex profilo non previsto</v>
      </c>
      <c r="N19" s="76"/>
      <c r="O19" s="76"/>
      <c r="P19" s="82">
        <f>VLOOKUP(L19&amp;$K$2&amp;K19&amp;$K$2&amp;M19,EDR1!$A$36:$Q$268,16,FALSE)</f>
        <v>30</v>
      </c>
      <c r="Q19" s="82">
        <f>VLOOKUP(L19&amp;$K$2&amp;K19&amp;$K$2&amp;M19,EDR1!$A$36:$Q$268,17,FALSE)</f>
        <v>65</v>
      </c>
      <c r="R19" s="77">
        <f t="shared" si="5"/>
        <v>14</v>
      </c>
      <c r="S19" s="80">
        <f t="shared" si="6"/>
      </c>
      <c r="T19" s="77">
        <f t="shared" si="7"/>
      </c>
      <c r="U19" s="76"/>
      <c r="V19" s="76"/>
      <c r="W19" s="77">
        <f t="shared" si="12"/>
        <v>14</v>
      </c>
      <c r="X19" s="80">
        <f t="shared" si="13"/>
      </c>
      <c r="Y19" s="80"/>
      <c r="Z19" s="77"/>
      <c r="AA19" s="76"/>
      <c r="AB19" s="76"/>
      <c r="AC19" s="76"/>
      <c r="AD19" s="76"/>
      <c r="AE19" s="76"/>
      <c r="AF19" s="76"/>
      <c r="AG19" s="76"/>
    </row>
    <row r="20" spans="1:33" ht="12.75" hidden="1">
      <c r="A20" s="76" t="str">
        <f t="shared" si="8"/>
        <v>A-RESPONSABILE STRUTTURA OPERATIVA </v>
      </c>
      <c r="B20" s="81" t="str">
        <f t="shared" si="1"/>
        <v>1-A</v>
      </c>
      <c r="C20" s="81">
        <f>COUNTIF($B$6:B20,"="&amp;B20)</f>
        <v>5</v>
      </c>
      <c r="D20" s="81" t="str">
        <f t="shared" si="2"/>
        <v>5-1-A</v>
      </c>
      <c r="E20" s="76" t="str">
        <f t="shared" si="9"/>
        <v>RESPONSABILE STRUTTURA OPERATIVA -Capo Settore Controlleria</v>
      </c>
      <c r="F20" s="76" t="str">
        <f t="shared" si="3"/>
        <v>RESPONSABILE STRUTTURA OPERATIVA -A-Capo Settore Controlleria</v>
      </c>
      <c r="G20" s="76" t="str">
        <f t="shared" si="10"/>
        <v>1-RESPONSABILE STRUTTURA OPERATIVA -A</v>
      </c>
      <c r="H20" s="76" t="str">
        <f t="shared" si="11"/>
        <v>A-RESPONSABILE STRUTTURA OPERATIVA -5-1-A</v>
      </c>
      <c r="I20" s="76">
        <f t="shared" si="4"/>
        <v>5</v>
      </c>
      <c r="J20" s="76">
        <f>COUNTIF($A$6:A20,"="&amp;A20)</f>
        <v>1</v>
      </c>
      <c r="K20" s="76" t="str">
        <f>EDR1!D50</f>
        <v>RESPONSABILE STRUTTURA OPERATIVA </v>
      </c>
      <c r="L20" s="76" t="str">
        <f>EDR1!C50</f>
        <v>A</v>
      </c>
      <c r="M20" s="76" t="str">
        <f>EDR1!E50</f>
        <v>Capo Settore Controlleria</v>
      </c>
      <c r="N20" s="76"/>
      <c r="O20" s="76"/>
      <c r="P20" s="82">
        <f>VLOOKUP(L20&amp;$K$2&amp;K20&amp;$K$2&amp;M20,EDR1!$A$36:$Q$268,16,FALSE)</f>
        <v>30</v>
      </c>
      <c r="Q20" s="82">
        <f>VLOOKUP(L20&amp;$K$2&amp;K20&amp;$K$2&amp;M20,EDR1!$A$36:$Q$268,17,FALSE)</f>
        <v>65</v>
      </c>
      <c r="R20" s="77">
        <f t="shared" si="5"/>
        <v>15</v>
      </c>
      <c r="S20" s="80">
        <f t="shared" si="6"/>
      </c>
      <c r="T20" s="77">
        <f t="shared" si="7"/>
      </c>
      <c r="U20" s="76"/>
      <c r="V20" s="76"/>
      <c r="W20" s="77">
        <f t="shared" si="12"/>
        <v>15</v>
      </c>
      <c r="X20" s="80">
        <f t="shared" si="13"/>
      </c>
      <c r="Y20" s="80"/>
      <c r="Z20" s="77"/>
      <c r="AA20" s="76"/>
      <c r="AB20" s="77" t="s">
        <v>135</v>
      </c>
      <c r="AC20" s="76"/>
      <c r="AD20" s="76"/>
      <c r="AE20" s="76"/>
      <c r="AF20" s="76"/>
      <c r="AG20" s="76"/>
    </row>
    <row r="21" spans="1:33" ht="12.75" hidden="1">
      <c r="A21" s="76" t="str">
        <f t="shared" si="8"/>
        <v>A-RESPONSABILE STRUTTURA OPERATIVA </v>
      </c>
      <c r="B21" s="81" t="str">
        <f t="shared" si="1"/>
        <v>2-A</v>
      </c>
      <c r="C21" s="81">
        <f>COUNTIF($B$6:B21,"="&amp;B21)</f>
        <v>4</v>
      </c>
      <c r="D21" s="81" t="str">
        <f t="shared" si="2"/>
        <v>4-2-A</v>
      </c>
      <c r="E21" s="76" t="str">
        <f t="shared" si="9"/>
        <v>RESPONSABILE STRUTTURA OPERATIVA -Capo Settore Gestioni</v>
      </c>
      <c r="F21" s="76" t="str">
        <f t="shared" si="3"/>
        <v>RESPONSABILE STRUTTURA OPERATIVA -A-Capo Settore Gestioni</v>
      </c>
      <c r="G21" s="76" t="str">
        <f t="shared" si="10"/>
        <v>2-RESPONSABILE STRUTTURA OPERATIVA -A</v>
      </c>
      <c r="H21" s="76" t="str">
        <f t="shared" si="11"/>
        <v>A-RESPONSABILE STRUTTURA OPERATIVA -4-2-A</v>
      </c>
      <c r="I21" s="76">
        <f t="shared" si="4"/>
        <v>5</v>
      </c>
      <c r="J21" s="76">
        <f>COUNTIF($A$6:A21,"="&amp;A21)</f>
        <v>2</v>
      </c>
      <c r="K21" s="76" t="str">
        <f>EDR1!D51</f>
        <v>RESPONSABILE STRUTTURA OPERATIVA </v>
      </c>
      <c r="L21" s="76" t="str">
        <f>EDR1!C51</f>
        <v>A</v>
      </c>
      <c r="M21" s="76" t="str">
        <f>EDR1!E51</f>
        <v>Capo Settore Gestioni</v>
      </c>
      <c r="N21" s="83" t="s">
        <v>110</v>
      </c>
      <c r="O21" s="76"/>
      <c r="P21" s="82">
        <f>VLOOKUP(L21&amp;$K$2&amp;K21&amp;$K$2&amp;M21,EDR1!$A$36:$Q$268,16,FALSE)</f>
        <v>30</v>
      </c>
      <c r="Q21" s="82">
        <f>VLOOKUP(L21&amp;$K$2&amp;K21&amp;$K$2&amp;M21,EDR1!$A$36:$Q$268,17,FALSE)</f>
        <v>65</v>
      </c>
      <c r="R21" s="77">
        <f t="shared" si="5"/>
        <v>16</v>
      </c>
      <c r="S21" s="80">
        <f t="shared" si="6"/>
      </c>
      <c r="T21" s="77">
        <f t="shared" si="7"/>
      </c>
      <c r="U21" s="76"/>
      <c r="V21" s="76"/>
      <c r="W21" s="77">
        <f t="shared" si="12"/>
        <v>16</v>
      </c>
      <c r="X21" s="80">
        <f t="shared" si="13"/>
      </c>
      <c r="Y21" s="80"/>
      <c r="Z21" s="77"/>
      <c r="AA21" s="76"/>
      <c r="AB21" s="77">
        <v>1</v>
      </c>
      <c r="AC21" s="80" t="s">
        <v>31</v>
      </c>
      <c r="AD21" s="76"/>
      <c r="AE21" s="76"/>
      <c r="AF21" s="76"/>
      <c r="AG21" s="76"/>
    </row>
    <row r="22" spans="1:33" ht="12.75" hidden="1">
      <c r="A22" s="76" t="str">
        <f t="shared" si="8"/>
        <v>A-RESPONSABILE STRUTTURA OPERATIVA </v>
      </c>
      <c r="B22" s="81" t="str">
        <f t="shared" si="1"/>
        <v>3-A</v>
      </c>
      <c r="C22" s="81">
        <f>COUNTIF($B$6:B22,"="&amp;B22)</f>
        <v>2</v>
      </c>
      <c r="D22" s="81" t="str">
        <f t="shared" si="2"/>
        <v>2-3-A</v>
      </c>
      <c r="E22" s="76" t="str">
        <f t="shared" si="9"/>
        <v>RESPONSABILE STRUTTURA OPERATIVA -Capo Settore Macchina</v>
      </c>
      <c r="F22" s="76" t="str">
        <f t="shared" si="3"/>
        <v>RESPONSABILE STRUTTURA OPERATIVA -A-Capo Settore Macchina</v>
      </c>
      <c r="G22" s="76" t="str">
        <f t="shared" si="10"/>
        <v>3-RESPONSABILE STRUTTURA OPERATIVA -A</v>
      </c>
      <c r="H22" s="76" t="str">
        <f t="shared" si="11"/>
        <v>A-RESPONSABILE STRUTTURA OPERATIVA -2-3-A</v>
      </c>
      <c r="I22" s="76">
        <f t="shared" si="4"/>
        <v>5</v>
      </c>
      <c r="J22" s="76">
        <f>COUNTIF($A$6:A22,"="&amp;A22)</f>
        <v>3</v>
      </c>
      <c r="K22" s="76" t="str">
        <f>EDR1!D52</f>
        <v>RESPONSABILE STRUTTURA OPERATIVA </v>
      </c>
      <c r="L22" s="76" t="str">
        <f>EDR1!C52</f>
        <v>A</v>
      </c>
      <c r="M22" s="76" t="str">
        <f>EDR1!E52</f>
        <v>Capo Settore Macchina</v>
      </c>
      <c r="N22" s="76"/>
      <c r="O22" s="76"/>
      <c r="P22" s="82">
        <f>VLOOKUP(L22&amp;$K$2&amp;K22&amp;$K$2&amp;M22,EDR1!$A$36:$Q$268,16,FALSE)</f>
        <v>30</v>
      </c>
      <c r="Q22" s="82">
        <f>VLOOKUP(L22&amp;$K$2&amp;K22&amp;$K$2&amp;M22,EDR1!$A$36:$Q$268,17,FALSE)</f>
        <v>65</v>
      </c>
      <c r="R22" s="77">
        <f t="shared" si="5"/>
        <v>17</v>
      </c>
      <c r="S22" s="80">
        <f t="shared" si="6"/>
      </c>
      <c r="T22" s="77">
        <f t="shared" si="7"/>
      </c>
      <c r="U22" s="76"/>
      <c r="V22" s="76"/>
      <c r="W22" s="77">
        <f t="shared" si="12"/>
        <v>17</v>
      </c>
      <c r="X22" s="80">
        <f t="shared" si="13"/>
      </c>
      <c r="Y22" s="80"/>
      <c r="Z22" s="77"/>
      <c r="AA22" s="76"/>
      <c r="AB22" s="77">
        <v>0</v>
      </c>
      <c r="AC22" s="80" t="s">
        <v>29</v>
      </c>
      <c r="AD22" s="76"/>
      <c r="AE22" s="76"/>
      <c r="AF22" s="76"/>
      <c r="AG22" s="76"/>
    </row>
    <row r="23" spans="1:33" ht="12.75" hidden="1">
      <c r="A23" s="76" t="str">
        <f t="shared" si="8"/>
        <v>A-RESPONSABILE STRUTTURA OPERATIVA </v>
      </c>
      <c r="B23" s="81" t="str">
        <f t="shared" si="1"/>
        <v>4-A</v>
      </c>
      <c r="C23" s="81">
        <f>COUNTIF($B$6:B23,"="&amp;B23)</f>
        <v>2</v>
      </c>
      <c r="D23" s="81" t="str">
        <f t="shared" si="2"/>
        <v>2-4-A</v>
      </c>
      <c r="E23" s="76" t="str">
        <f t="shared" si="9"/>
        <v>RESPONSABILE STRUTTURA OPERATIVA -Capo Settore Stazioni</v>
      </c>
      <c r="F23" s="76" t="str">
        <f t="shared" si="3"/>
        <v>RESPONSABILE STRUTTURA OPERATIVA -A-Capo Settore Stazioni</v>
      </c>
      <c r="G23" s="76" t="str">
        <f t="shared" si="10"/>
        <v>4-RESPONSABILE STRUTTURA OPERATIVA -A</v>
      </c>
      <c r="H23" s="76" t="str">
        <f t="shared" si="11"/>
        <v>A-RESPONSABILE STRUTTURA OPERATIVA -2-4-A</v>
      </c>
      <c r="I23" s="76">
        <f t="shared" si="4"/>
        <v>5</v>
      </c>
      <c r="J23" s="76">
        <f>COUNTIF($A$6:A23,"="&amp;A23)</f>
        <v>4</v>
      </c>
      <c r="K23" s="76" t="str">
        <f>EDR1!D53</f>
        <v>RESPONSABILE STRUTTURA OPERATIVA </v>
      </c>
      <c r="L23" s="76" t="str">
        <f>EDR1!C53</f>
        <v>A</v>
      </c>
      <c r="M23" s="76" t="str">
        <f>EDR1!E53</f>
        <v>Capo Settore Stazioni</v>
      </c>
      <c r="N23" s="76"/>
      <c r="O23" s="76"/>
      <c r="P23" s="82">
        <f>VLOOKUP(L23&amp;$K$2&amp;K23&amp;$K$2&amp;M23,EDR1!$A$36:$Q$268,16,FALSE)</f>
        <v>30</v>
      </c>
      <c r="Q23" s="82">
        <f>VLOOKUP(L23&amp;$K$2&amp;K23&amp;$K$2&amp;M23,EDR1!$A$36:$Q$268,17,FALSE)</f>
        <v>65</v>
      </c>
      <c r="R23" s="77">
        <f t="shared" si="5"/>
        <v>18</v>
      </c>
      <c r="S23" s="80">
        <f t="shared" si="6"/>
      </c>
      <c r="T23" s="77">
        <f t="shared" si="7"/>
      </c>
      <c r="U23" s="76"/>
      <c r="V23" s="76"/>
      <c r="W23" s="77">
        <f t="shared" si="12"/>
        <v>18</v>
      </c>
      <c r="X23" s="80">
        <f t="shared" si="13"/>
      </c>
      <c r="Y23" s="80"/>
      <c r="Z23" s="77"/>
      <c r="AA23" s="76"/>
      <c r="AB23" s="77"/>
      <c r="AC23" s="77"/>
      <c r="AD23" s="76"/>
      <c r="AE23" s="76"/>
      <c r="AF23" s="76"/>
      <c r="AG23" s="76"/>
    </row>
    <row r="24" spans="1:33" ht="12.75" hidden="1">
      <c r="A24" s="76" t="str">
        <f t="shared" si="8"/>
        <v>A-RESPONSABILE STRUTTURA OPERATIVA </v>
      </c>
      <c r="B24" s="81" t="str">
        <f t="shared" si="1"/>
        <v>5-A</v>
      </c>
      <c r="C24" s="81">
        <f>COUNTIF($B$6:B24,"="&amp;B24)</f>
        <v>2</v>
      </c>
      <c r="D24" s="81" t="str">
        <f t="shared" si="2"/>
        <v>2-5-A</v>
      </c>
      <c r="E24" s="76" t="str">
        <f t="shared" si="9"/>
        <v>RESPONSABILE STRUTTURA OPERATIVA -Capo Settore Tecnico</v>
      </c>
      <c r="F24" s="76" t="str">
        <f t="shared" si="3"/>
        <v>RESPONSABILE STRUTTURA OPERATIVA -A-Capo Settore Tecnico</v>
      </c>
      <c r="G24" s="76" t="str">
        <f t="shared" si="10"/>
        <v>5-RESPONSABILE STRUTTURA OPERATIVA -A</v>
      </c>
      <c r="H24" s="76" t="str">
        <f t="shared" si="11"/>
        <v>A-RESPONSABILE STRUTTURA OPERATIVA -2-5-A</v>
      </c>
      <c r="I24" s="76">
        <f t="shared" si="4"/>
        <v>5</v>
      </c>
      <c r="J24" s="76">
        <f>COUNTIF($A$6:A24,"="&amp;A24)</f>
        <v>5</v>
      </c>
      <c r="K24" s="76" t="str">
        <f>EDR1!D54</f>
        <v>RESPONSABILE STRUTTURA OPERATIVA </v>
      </c>
      <c r="L24" s="76" t="str">
        <f>EDR1!C54</f>
        <v>A</v>
      </c>
      <c r="M24" s="76" t="str">
        <f>EDR1!E54</f>
        <v>Capo Settore Tecnico</v>
      </c>
      <c r="N24" s="76"/>
      <c r="O24" s="76"/>
      <c r="P24" s="82">
        <f>VLOOKUP(L24&amp;$K$2&amp;K24&amp;$K$2&amp;M24,EDR1!$A$36:$Q$268,16,FALSE)</f>
        <v>30</v>
      </c>
      <c r="Q24" s="82">
        <f>VLOOKUP(L24&amp;$K$2&amp;K24&amp;$K$2&amp;M24,EDR1!$A$36:$Q$268,17,FALSE)</f>
        <v>65</v>
      </c>
      <c r="R24" s="77">
        <f t="shared" si="5"/>
        <v>19</v>
      </c>
      <c r="S24" s="80">
        <f t="shared" si="6"/>
      </c>
      <c r="T24" s="77">
        <f t="shared" si="7"/>
      </c>
      <c r="U24" s="76"/>
      <c r="V24" s="76"/>
      <c r="W24" s="77">
        <f t="shared" si="12"/>
        <v>19</v>
      </c>
      <c r="X24" s="80">
        <f t="shared" si="13"/>
      </c>
      <c r="Y24" s="80"/>
      <c r="Z24" s="77"/>
      <c r="AA24" s="76"/>
      <c r="AB24" s="76"/>
      <c r="AC24" s="76"/>
      <c r="AD24" s="76"/>
      <c r="AE24" s="76"/>
      <c r="AF24" s="76"/>
      <c r="AG24" s="76"/>
    </row>
    <row r="25" spans="1:33" ht="12.75" hidden="1">
      <c r="A25" s="76" t="str">
        <f t="shared" si="8"/>
        <v>A-RESPONSABILE STRUTTURA OPERATIVA </v>
      </c>
      <c r="B25" s="81" t="str">
        <f t="shared" si="1"/>
        <v>6-A</v>
      </c>
      <c r="C25" s="81">
        <f>COUNTIF($B$6:B25,"="&amp;B25)</f>
        <v>2</v>
      </c>
      <c r="D25" s="81" t="str">
        <f t="shared" si="2"/>
        <v>2-6-A</v>
      </c>
      <c r="E25" s="76" t="str">
        <f t="shared" si="9"/>
        <v>RESPONSABILE STRUTTURA OPERATIVA -Capo Settore Uffici</v>
      </c>
      <c r="F25" s="76" t="str">
        <f t="shared" si="3"/>
        <v>RESPONSABILE STRUTTURA OPERATIVA -A-Capo Settore Uffici</v>
      </c>
      <c r="G25" s="76" t="str">
        <f t="shared" si="10"/>
        <v>6-RESPONSABILE STRUTTURA OPERATIVA -A</v>
      </c>
      <c r="H25" s="76" t="str">
        <f t="shared" si="11"/>
        <v>A-RESPONSABILE STRUTTURA OPERATIVA -2-6-A</v>
      </c>
      <c r="I25" s="76">
        <f t="shared" si="4"/>
        <v>5</v>
      </c>
      <c r="J25" s="76">
        <f>COUNTIF($A$6:A25,"="&amp;A25)</f>
        <v>6</v>
      </c>
      <c r="K25" s="76" t="str">
        <f>EDR1!D55</f>
        <v>RESPONSABILE STRUTTURA OPERATIVA </v>
      </c>
      <c r="L25" s="76" t="str">
        <f>EDR1!C55</f>
        <v>A</v>
      </c>
      <c r="M25" s="76" t="str">
        <f>EDR1!E55</f>
        <v>Capo Settore Uffici</v>
      </c>
      <c r="N25" s="76"/>
      <c r="O25" s="76"/>
      <c r="P25" s="82">
        <f>VLOOKUP(L25&amp;$K$2&amp;K25&amp;$K$2&amp;M25,EDR1!$A$36:$Q$268,16,FALSE)</f>
        <v>30</v>
      </c>
      <c r="Q25" s="82">
        <f>VLOOKUP(L25&amp;$K$2&amp;K25&amp;$K$2&amp;M25,EDR1!$A$36:$Q$268,17,FALSE)</f>
        <v>65</v>
      </c>
      <c r="R25" s="77">
        <f t="shared" si="5"/>
        <v>20</v>
      </c>
      <c r="S25" s="80">
        <f t="shared" si="6"/>
      </c>
      <c r="T25" s="77">
        <f t="shared" si="7"/>
      </c>
      <c r="U25" s="76"/>
      <c r="V25" s="76"/>
      <c r="W25" s="77">
        <f t="shared" si="12"/>
        <v>20</v>
      </c>
      <c r="X25" s="80">
        <f t="shared" si="13"/>
      </c>
      <c r="Y25" s="80"/>
      <c r="Z25" s="77"/>
      <c r="AA25" s="76"/>
      <c r="AB25" s="76"/>
      <c r="AC25" s="76"/>
      <c r="AD25" s="76"/>
      <c r="AE25" s="76"/>
      <c r="AF25" s="76"/>
      <c r="AG25" s="76"/>
    </row>
    <row r="26" spans="1:33" ht="12.75" hidden="1">
      <c r="A26" s="76" t="str">
        <f t="shared" si="8"/>
        <v>A-RESPONSABILE STRUTTURA OPERATIVA </v>
      </c>
      <c r="B26" s="81" t="str">
        <f t="shared" si="1"/>
        <v>7-A</v>
      </c>
      <c r="C26" s="81">
        <f>COUNTIF($B$6:B26,"="&amp;B26)</f>
        <v>2</v>
      </c>
      <c r="D26" s="81" t="str">
        <f t="shared" si="2"/>
        <v>2-7-A</v>
      </c>
      <c r="E26" s="76" t="str">
        <f t="shared" si="9"/>
        <v>RESPONSABILE STRUTTURA OPERATIVA -Capo Settore Viaggiante</v>
      </c>
      <c r="F26" s="76" t="str">
        <f t="shared" si="3"/>
        <v>RESPONSABILE STRUTTURA OPERATIVA -A-Capo Settore Viaggiante</v>
      </c>
      <c r="G26" s="76" t="str">
        <f t="shared" si="10"/>
        <v>7-RESPONSABILE STRUTTURA OPERATIVA -A</v>
      </c>
      <c r="H26" s="76" t="str">
        <f t="shared" si="11"/>
        <v>A-RESPONSABILE STRUTTURA OPERATIVA -2-7-A</v>
      </c>
      <c r="I26" s="76">
        <f t="shared" si="4"/>
        <v>5</v>
      </c>
      <c r="J26" s="76">
        <f>COUNTIF($A$6:A26,"="&amp;A26)</f>
        <v>7</v>
      </c>
      <c r="K26" s="76" t="str">
        <f>EDR1!D56</f>
        <v>RESPONSABILE STRUTTURA OPERATIVA </v>
      </c>
      <c r="L26" s="76" t="str">
        <f>EDR1!C56</f>
        <v>A</v>
      </c>
      <c r="M26" s="76" t="str">
        <f>EDR1!E56</f>
        <v>Capo Settore Viaggiante</v>
      </c>
      <c r="N26" s="76"/>
      <c r="O26" s="76"/>
      <c r="P26" s="82">
        <f>VLOOKUP(L26&amp;$K$2&amp;K26&amp;$K$2&amp;M26,EDR1!$A$36:$Q$268,16,FALSE)</f>
        <v>30</v>
      </c>
      <c r="Q26" s="82">
        <f>VLOOKUP(L26&amp;$K$2&amp;K26&amp;$K$2&amp;M26,EDR1!$A$36:$Q$268,17,FALSE)</f>
        <v>65</v>
      </c>
      <c r="R26" s="77">
        <f t="shared" si="5"/>
        <v>21</v>
      </c>
      <c r="S26" s="80">
        <f t="shared" si="6"/>
      </c>
      <c r="T26" s="77">
        <f t="shared" si="7"/>
      </c>
      <c r="U26" s="76"/>
      <c r="V26" s="76"/>
      <c r="W26" s="77"/>
      <c r="X26" s="77"/>
      <c r="Y26" s="80"/>
      <c r="Z26" s="77"/>
      <c r="AA26" s="76"/>
      <c r="AB26" s="76"/>
      <c r="AC26" s="76"/>
      <c r="AD26" s="76"/>
      <c r="AE26" s="76"/>
      <c r="AF26" s="76"/>
      <c r="AG26" s="76"/>
    </row>
    <row r="27" spans="1:33" ht="12.75" hidden="1">
      <c r="A27" s="76" t="str">
        <f t="shared" si="8"/>
        <v>B-PRIMO UFFICIALE</v>
      </c>
      <c r="B27" s="81" t="str">
        <f t="shared" si="1"/>
        <v>1-B</v>
      </c>
      <c r="C27" s="81">
        <f>COUNTIF($B$6:B27,"="&amp;B27)</f>
        <v>1</v>
      </c>
      <c r="D27" s="81" t="str">
        <f t="shared" si="2"/>
        <v>1-1-B</v>
      </c>
      <c r="E27" s="76" t="str">
        <f t="shared" si="9"/>
        <v>PRIMO UFFICIALE-Primo ufficiale Marconista</v>
      </c>
      <c r="F27" s="76" t="str">
        <f t="shared" si="3"/>
        <v>PRIMO UFFICIALE-B-Primo ufficiale Marconista</v>
      </c>
      <c r="G27" s="76" t="str">
        <f t="shared" si="10"/>
        <v>1-PRIMO UFFICIALE-B</v>
      </c>
      <c r="H27" s="76" t="str">
        <f t="shared" si="11"/>
        <v>B-PRIMO UFFICIALE-1-1-B</v>
      </c>
      <c r="I27" s="76">
        <f t="shared" si="4"/>
        <v>6</v>
      </c>
      <c r="J27" s="76">
        <f>COUNTIF($A$6:A27,"="&amp;A27)</f>
        <v>1</v>
      </c>
      <c r="K27" s="76" t="str">
        <f>EDR1!D57</f>
        <v>PRIMO UFFICIALE</v>
      </c>
      <c r="L27" s="76" t="str">
        <f>EDR1!C57</f>
        <v>B</v>
      </c>
      <c r="M27" s="76" t="str">
        <f>EDR1!E57</f>
        <v>Primo ufficiale Marconista</v>
      </c>
      <c r="N27" s="76"/>
      <c r="O27" s="76"/>
      <c r="P27" s="82">
        <f>VLOOKUP(L27&amp;$K$2&amp;K27&amp;$K$2&amp;M27,EDR1!$A$36:$Q$268,16,FALSE)</f>
        <v>30</v>
      </c>
      <c r="Q27" s="82">
        <f>VLOOKUP(L27&amp;$K$2&amp;K27&amp;$K$2&amp;M27,EDR1!$A$36:$Q$268,17,FALSE)</f>
        <v>65</v>
      </c>
      <c r="R27" s="77">
        <f t="shared" si="5"/>
        <v>22</v>
      </c>
      <c r="S27" s="80">
        <f t="shared" si="6"/>
      </c>
      <c r="T27" s="77">
        <f t="shared" si="7"/>
      </c>
      <c r="U27" s="76"/>
      <c r="V27" s="76"/>
      <c r="W27" s="77"/>
      <c r="X27" s="80"/>
      <c r="Y27" s="80"/>
      <c r="Z27" s="77"/>
      <c r="AA27" s="76"/>
      <c r="AB27" s="76"/>
      <c r="AC27" s="76"/>
      <c r="AD27" s="76"/>
      <c r="AE27" s="76"/>
      <c r="AF27" s="76"/>
      <c r="AG27" s="76"/>
    </row>
    <row r="28" spans="1:33" ht="12.75" hidden="1">
      <c r="A28" s="76" t="str">
        <f t="shared" si="8"/>
        <v>B-PRIMO UFFICIALE DI MACCHINA</v>
      </c>
      <c r="B28" s="81" t="str">
        <f t="shared" si="1"/>
        <v>1-B</v>
      </c>
      <c r="C28" s="81">
        <f>COUNTIF($B$6:B28,"="&amp;B28)</f>
        <v>2</v>
      </c>
      <c r="D28" s="81" t="str">
        <f t="shared" si="2"/>
        <v>2-1-B</v>
      </c>
      <c r="E28" s="76" t="str">
        <f t="shared" si="9"/>
        <v>PRIMO UFFICIALE DI MACCHINA-Primo ufficiale di Macchina</v>
      </c>
      <c r="F28" s="76" t="str">
        <f t="shared" si="3"/>
        <v>PRIMO UFFICIALE DI MACCHINA-B-Primo ufficiale di Macchina</v>
      </c>
      <c r="G28" s="76" t="str">
        <f t="shared" si="10"/>
        <v>1-PRIMO UFFICIALE DI MACCHINA-B</v>
      </c>
      <c r="H28" s="76" t="str">
        <f t="shared" si="11"/>
        <v>B-PRIMO UFFICIALE DI MACCHINA-2-1-B</v>
      </c>
      <c r="I28" s="76">
        <f t="shared" si="4"/>
        <v>7</v>
      </c>
      <c r="J28" s="76">
        <f>COUNTIF($A$6:A28,"="&amp;A28)</f>
        <v>1</v>
      </c>
      <c r="K28" s="76" t="str">
        <f>EDR1!D58</f>
        <v>PRIMO UFFICIALE DI MACCHINA</v>
      </c>
      <c r="L28" s="76" t="str">
        <f>EDR1!C58</f>
        <v>B</v>
      </c>
      <c r="M28" s="76" t="str">
        <f>EDR1!E58</f>
        <v>Primo ufficiale di Macchina</v>
      </c>
      <c r="N28" s="76"/>
      <c r="O28" s="76"/>
      <c r="P28" s="82">
        <f>VLOOKUP(L28&amp;$K$2&amp;K28&amp;$K$2&amp;M28,EDR1!$A$36:$Q$268,16,FALSE)</f>
        <v>30</v>
      </c>
      <c r="Q28" s="82">
        <f>VLOOKUP(L28&amp;$K$2&amp;K28&amp;$K$2&amp;M28,EDR1!$A$36:$Q$268,17,FALSE)</f>
        <v>65</v>
      </c>
      <c r="R28" s="77">
        <f t="shared" si="5"/>
        <v>23</v>
      </c>
      <c r="S28" s="80">
        <f t="shared" si="6"/>
      </c>
      <c r="T28" s="77">
        <f t="shared" si="7"/>
      </c>
      <c r="U28" s="76"/>
      <c r="V28" s="76"/>
      <c r="W28" s="77"/>
      <c r="X28" s="80"/>
      <c r="Y28" s="80"/>
      <c r="Z28" s="77"/>
      <c r="AA28" s="76"/>
      <c r="AB28" s="76"/>
      <c r="AC28" s="76"/>
      <c r="AD28" s="76"/>
      <c r="AE28" s="76"/>
      <c r="AF28" s="76"/>
      <c r="AG28" s="76"/>
    </row>
    <row r="29" spans="1:33" ht="12.75" hidden="1">
      <c r="A29" s="76" t="str">
        <f t="shared" si="8"/>
        <v>B-PRIMO UFFICIALE NAVALE</v>
      </c>
      <c r="B29" s="81" t="str">
        <f t="shared" si="1"/>
        <v>1-B</v>
      </c>
      <c r="C29" s="81">
        <f>COUNTIF($B$6:B29,"="&amp;B29)</f>
        <v>3</v>
      </c>
      <c r="D29" s="81" t="str">
        <f t="shared" si="2"/>
        <v>3-1-B</v>
      </c>
      <c r="E29" s="76" t="str">
        <f t="shared" si="9"/>
        <v>PRIMO UFFICIALE NAVALE-Primo Ufficiale Navale</v>
      </c>
      <c r="F29" s="76" t="str">
        <f t="shared" si="3"/>
        <v>PRIMO UFFICIALE NAVALE-B-Primo Ufficiale Navale</v>
      </c>
      <c r="G29" s="76" t="str">
        <f t="shared" si="10"/>
        <v>1-PRIMO UFFICIALE NAVALE-B</v>
      </c>
      <c r="H29" s="76" t="str">
        <f t="shared" si="11"/>
        <v>B-PRIMO UFFICIALE NAVALE-3-1-B</v>
      </c>
      <c r="I29" s="76">
        <f t="shared" si="4"/>
        <v>8</v>
      </c>
      <c r="J29" s="76">
        <f>COUNTIF($A$6:A29,"="&amp;A29)</f>
        <v>1</v>
      </c>
      <c r="K29" s="76" t="str">
        <f>EDR1!D59</f>
        <v>PRIMO UFFICIALE NAVALE</v>
      </c>
      <c r="L29" s="76" t="str">
        <f>EDR1!C59</f>
        <v>B</v>
      </c>
      <c r="M29" s="76" t="str">
        <f>EDR1!E59</f>
        <v>Primo Ufficiale Navale</v>
      </c>
      <c r="N29" s="76"/>
      <c r="O29" s="76"/>
      <c r="P29" s="82">
        <f>VLOOKUP(L29&amp;$K$2&amp;K29&amp;$K$2&amp;M29,EDR1!$A$36:$Q$268,16,FALSE)</f>
        <v>30</v>
      </c>
      <c r="Q29" s="82">
        <f>VLOOKUP(L29&amp;$K$2&amp;K29&amp;$K$2&amp;M29,EDR1!$A$36:$Q$268,17,FALSE)</f>
        <v>65</v>
      </c>
      <c r="R29" s="77">
        <f t="shared" si="5"/>
        <v>24</v>
      </c>
      <c r="S29" s="80">
        <f t="shared" si="6"/>
      </c>
      <c r="T29" s="77">
        <f t="shared" si="7"/>
      </c>
      <c r="U29" s="76"/>
      <c r="V29" s="76"/>
      <c r="W29" s="77"/>
      <c r="X29" s="80"/>
      <c r="Y29" s="80"/>
      <c r="Z29" s="77"/>
      <c r="AA29" s="76"/>
      <c r="AB29" s="76"/>
      <c r="AC29" s="76"/>
      <c r="AD29" s="76"/>
      <c r="AE29" s="76"/>
      <c r="AF29" s="76"/>
      <c r="AG29" s="76"/>
    </row>
    <row r="30" spans="1:33" ht="12.75" hidden="1">
      <c r="A30" s="76" t="str">
        <f t="shared" si="8"/>
        <v>B-PROFESSIONAL </v>
      </c>
      <c r="B30" s="81" t="str">
        <f t="shared" si="1"/>
        <v>1-B</v>
      </c>
      <c r="C30" s="81">
        <f>COUNTIF($B$6:B30,"="&amp;B30)</f>
        <v>4</v>
      </c>
      <c r="D30" s="81" t="str">
        <f t="shared" si="2"/>
        <v>4-1-B</v>
      </c>
      <c r="E30" s="76" t="str">
        <f t="shared" si="9"/>
        <v>PROFESSIONAL -Capo Deposito Sovrintendente</v>
      </c>
      <c r="F30" s="76" t="str">
        <f t="shared" si="3"/>
        <v>PROFESSIONAL -B-Capo Deposito Sovrintendente</v>
      </c>
      <c r="G30" s="76" t="str">
        <f t="shared" si="10"/>
        <v>1-PROFESSIONAL -B</v>
      </c>
      <c r="H30" s="76" t="str">
        <f t="shared" si="11"/>
        <v>B-PROFESSIONAL -4-1-B</v>
      </c>
      <c r="I30" s="76">
        <f t="shared" si="4"/>
        <v>9</v>
      </c>
      <c r="J30" s="76">
        <f>COUNTIF($A$6:A30,"="&amp;A30)</f>
        <v>1</v>
      </c>
      <c r="K30" s="76" t="str">
        <f>EDR1!D60</f>
        <v>PROFESSIONAL </v>
      </c>
      <c r="L30" s="76" t="str">
        <f>EDR1!C60</f>
        <v>B</v>
      </c>
      <c r="M30" s="76" t="str">
        <f>EDR1!E60</f>
        <v>Capo Deposito Sovrintendente</v>
      </c>
      <c r="N30" s="76"/>
      <c r="O30" s="76"/>
      <c r="P30" s="82">
        <f>VLOOKUP(L30&amp;$K$2&amp;K30&amp;$K$2&amp;M30,EDR1!$A$36:$Q$268,16,FALSE)</f>
        <v>30</v>
      </c>
      <c r="Q30" s="82">
        <f>VLOOKUP(L30&amp;$K$2&amp;K30&amp;$K$2&amp;M30,EDR1!$A$36:$Q$268,17,FALSE)</f>
        <v>65</v>
      </c>
      <c r="R30" s="77">
        <f t="shared" si="5"/>
        <v>25</v>
      </c>
      <c r="S30" s="80">
        <f t="shared" si="6"/>
      </c>
      <c r="T30" s="77">
        <f t="shared" si="7"/>
      </c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 spans="1:33" ht="12.75" hidden="1">
      <c r="A31" s="76" t="str">
        <f t="shared" si="8"/>
        <v>B-PROFESSIONAL </v>
      </c>
      <c r="B31" s="81" t="str">
        <f t="shared" si="1"/>
        <v>2-B</v>
      </c>
      <c r="C31" s="81">
        <f>COUNTIF($B$6:B31,"="&amp;B31)</f>
        <v>1</v>
      </c>
      <c r="D31" s="81" t="str">
        <f t="shared" si="2"/>
        <v>1-2-B</v>
      </c>
      <c r="E31" s="76" t="str">
        <f t="shared" si="9"/>
        <v>PROFESSIONAL -Capo Gestione Sovrintendente</v>
      </c>
      <c r="F31" s="76" t="str">
        <f t="shared" si="3"/>
        <v>PROFESSIONAL -B-Capo Gestione Sovrintendente</v>
      </c>
      <c r="G31" s="76" t="str">
        <f t="shared" si="10"/>
        <v>2-PROFESSIONAL -B</v>
      </c>
      <c r="H31" s="76" t="str">
        <f t="shared" si="11"/>
        <v>B-PROFESSIONAL -1-2-B</v>
      </c>
      <c r="I31" s="76">
        <f t="shared" si="4"/>
        <v>9</v>
      </c>
      <c r="J31" s="76">
        <f>COUNTIF($A$6:A31,"="&amp;A31)</f>
        <v>2</v>
      </c>
      <c r="K31" s="76" t="str">
        <f>EDR1!D61</f>
        <v>PROFESSIONAL </v>
      </c>
      <c r="L31" s="76" t="str">
        <f>EDR1!C61</f>
        <v>B</v>
      </c>
      <c r="M31" s="76" t="str">
        <f>EDR1!E61</f>
        <v>Capo Gestione Sovrintendente</v>
      </c>
      <c r="N31" s="76"/>
      <c r="O31" s="76"/>
      <c r="P31" s="82">
        <f>VLOOKUP(L31&amp;$K$2&amp;K31&amp;$K$2&amp;M31,EDR1!$A$36:$Q$268,16,FALSE)</f>
        <v>30</v>
      </c>
      <c r="Q31" s="82">
        <f>VLOOKUP(L31&amp;$K$2&amp;K31&amp;$K$2&amp;M31,EDR1!$A$36:$Q$268,17,FALSE)</f>
        <v>65</v>
      </c>
      <c r="R31" s="77">
        <f t="shared" si="5"/>
        <v>26</v>
      </c>
      <c r="S31" s="80">
        <f t="shared" si="6"/>
      </c>
      <c r="T31" s="77">
        <f t="shared" si="7"/>
      </c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  <row r="32" spans="1:33" ht="12.75" hidden="1">
      <c r="A32" s="76" t="str">
        <f t="shared" si="8"/>
        <v>B-PROFESSIONAL </v>
      </c>
      <c r="B32" s="81" t="str">
        <f t="shared" si="1"/>
        <v>3-B</v>
      </c>
      <c r="C32" s="81">
        <f>COUNTIF($B$6:B32,"="&amp;B32)</f>
        <v>1</v>
      </c>
      <c r="D32" s="81" t="str">
        <f t="shared" si="2"/>
        <v>1-3-B</v>
      </c>
      <c r="E32" s="76" t="str">
        <f t="shared" si="9"/>
        <v>PROFESSIONAL -Capo Personale Viaggiante Sovrintendente</v>
      </c>
      <c r="F32" s="76" t="str">
        <f t="shared" si="3"/>
        <v>PROFESSIONAL -B-Capo Personale Viaggiante Sovrintendente</v>
      </c>
      <c r="G32" s="76" t="str">
        <f t="shared" si="10"/>
        <v>3-PROFESSIONAL -B</v>
      </c>
      <c r="H32" s="76" t="str">
        <f t="shared" si="11"/>
        <v>B-PROFESSIONAL -1-3-B</v>
      </c>
      <c r="I32" s="76">
        <f t="shared" si="4"/>
        <v>9</v>
      </c>
      <c r="J32" s="76">
        <f>COUNTIF($A$6:A32,"="&amp;A32)</f>
        <v>3</v>
      </c>
      <c r="K32" s="76" t="str">
        <f>EDR1!D62</f>
        <v>PROFESSIONAL </v>
      </c>
      <c r="L32" s="76" t="str">
        <f>EDR1!C62</f>
        <v>B</v>
      </c>
      <c r="M32" s="76" t="str">
        <f>EDR1!E62</f>
        <v>Capo Personale Viaggiante Sovrintendente</v>
      </c>
      <c r="N32" s="76"/>
      <c r="O32" s="76"/>
      <c r="P32" s="82">
        <f>VLOOKUP(L32&amp;$K$2&amp;K32&amp;$K$2&amp;M32,EDR1!$A$36:$Q$268,16,FALSE)</f>
        <v>30</v>
      </c>
      <c r="Q32" s="82">
        <f>VLOOKUP(L32&amp;$K$2&amp;K32&amp;$K$2&amp;M32,EDR1!$A$36:$Q$268,17,FALSE)</f>
        <v>65</v>
      </c>
      <c r="R32" s="77">
        <f t="shared" si="5"/>
        <v>27</v>
      </c>
      <c r="S32" s="80">
        <f t="shared" si="6"/>
      </c>
      <c r="T32" s="77">
        <f t="shared" si="7"/>
      </c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3" ht="12.75" hidden="1">
      <c r="A33" s="76" t="str">
        <f t="shared" si="8"/>
        <v>B-PROFESSIONAL </v>
      </c>
      <c r="B33" s="81" t="str">
        <f t="shared" si="1"/>
        <v>4-B</v>
      </c>
      <c r="C33" s="81">
        <f>COUNTIF($B$6:B33,"="&amp;B33)</f>
        <v>1</v>
      </c>
      <c r="D33" s="81" t="str">
        <f t="shared" si="2"/>
        <v>1-4-B</v>
      </c>
      <c r="E33" s="76" t="str">
        <f t="shared" si="9"/>
        <v>PROFESSIONAL -Capo Stazione Sovrintendente</v>
      </c>
      <c r="F33" s="76" t="str">
        <f t="shared" si="3"/>
        <v>PROFESSIONAL -B-Capo Stazione Sovrintendente</v>
      </c>
      <c r="G33" s="76" t="str">
        <f t="shared" si="10"/>
        <v>4-PROFESSIONAL -B</v>
      </c>
      <c r="H33" s="76" t="str">
        <f t="shared" si="11"/>
        <v>B-PROFESSIONAL -1-4-B</v>
      </c>
      <c r="I33" s="76">
        <f t="shared" si="4"/>
        <v>9</v>
      </c>
      <c r="J33" s="76">
        <f>COUNTIF($A$6:A33,"="&amp;A33)</f>
        <v>4</v>
      </c>
      <c r="K33" s="76" t="str">
        <f>EDR1!D63</f>
        <v>PROFESSIONAL </v>
      </c>
      <c r="L33" s="76" t="str">
        <f>EDR1!C63</f>
        <v>B</v>
      </c>
      <c r="M33" s="76" t="str">
        <f>EDR1!E63</f>
        <v>Capo Stazione Sovrintendente</v>
      </c>
      <c r="N33" s="76"/>
      <c r="O33" s="76"/>
      <c r="P33" s="82">
        <f>VLOOKUP(L33&amp;$K$2&amp;K33&amp;$K$2&amp;M33,EDR1!$A$36:$Q$268,16,FALSE)</f>
        <v>30</v>
      </c>
      <c r="Q33" s="82">
        <f>VLOOKUP(L33&amp;$K$2&amp;K33&amp;$K$2&amp;M33,EDR1!$A$36:$Q$268,17,FALSE)</f>
        <v>65</v>
      </c>
      <c r="R33" s="77">
        <f t="shared" si="5"/>
        <v>28</v>
      </c>
      <c r="S33" s="80">
        <f t="shared" si="6"/>
      </c>
      <c r="T33" s="77">
        <f t="shared" si="7"/>
      </c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ht="12.75" hidden="1">
      <c r="A34" s="76" t="str">
        <f t="shared" si="8"/>
        <v>B-PROFESSIONAL </v>
      </c>
      <c r="B34" s="81" t="str">
        <f t="shared" si="1"/>
        <v>5-B</v>
      </c>
      <c r="C34" s="81">
        <f>COUNTIF($B$6:B34,"="&amp;B34)</f>
        <v>1</v>
      </c>
      <c r="D34" s="81" t="str">
        <f t="shared" si="2"/>
        <v>1-5-B</v>
      </c>
      <c r="E34" s="76" t="str">
        <f t="shared" si="9"/>
        <v>PROFESSIONAL -Capo Tecnico Sovrintendente</v>
      </c>
      <c r="F34" s="76" t="str">
        <f t="shared" si="3"/>
        <v>PROFESSIONAL -B-Capo Tecnico Sovrintendente</v>
      </c>
      <c r="G34" s="76" t="str">
        <f t="shared" si="10"/>
        <v>5-PROFESSIONAL -B</v>
      </c>
      <c r="H34" s="76" t="str">
        <f t="shared" si="11"/>
        <v>B-PROFESSIONAL -1-5-B</v>
      </c>
      <c r="I34" s="76">
        <f t="shared" si="4"/>
        <v>9</v>
      </c>
      <c r="J34" s="76">
        <f>COUNTIF($A$6:A34,"="&amp;A34)</f>
        <v>5</v>
      </c>
      <c r="K34" s="76" t="str">
        <f>EDR1!D64</f>
        <v>PROFESSIONAL </v>
      </c>
      <c r="L34" s="76" t="str">
        <f>EDR1!C64</f>
        <v>B</v>
      </c>
      <c r="M34" s="76" t="str">
        <f>EDR1!E64</f>
        <v>Capo Tecnico Sovrintendente</v>
      </c>
      <c r="N34" s="76"/>
      <c r="O34" s="76"/>
      <c r="P34" s="82">
        <f>VLOOKUP(L34&amp;$K$2&amp;K34&amp;$K$2&amp;M34,EDR1!$A$36:$Q$268,16,FALSE)</f>
        <v>30</v>
      </c>
      <c r="Q34" s="82">
        <f>VLOOKUP(L34&amp;$K$2&amp;K34&amp;$K$2&amp;M34,EDR1!$A$36:$Q$268,17,FALSE)</f>
        <v>65</v>
      </c>
      <c r="R34" s="77">
        <f t="shared" si="5"/>
        <v>29</v>
      </c>
      <c r="S34" s="80">
        <f t="shared" si="6"/>
      </c>
      <c r="T34" s="77">
        <f t="shared" si="7"/>
      </c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ht="12.75" hidden="1">
      <c r="A35" s="76" t="str">
        <f t="shared" si="8"/>
        <v>B-PROFESSIONAL </v>
      </c>
      <c r="B35" s="81" t="str">
        <f t="shared" si="1"/>
        <v>6-B</v>
      </c>
      <c r="C35" s="81">
        <f>COUNTIF($B$6:B35,"="&amp;B35)</f>
        <v>1</v>
      </c>
      <c r="D35" s="81" t="str">
        <f t="shared" si="2"/>
        <v>1-6-B</v>
      </c>
      <c r="E35" s="76" t="str">
        <f t="shared" si="9"/>
        <v>PROFESSIONAL -Controllore Viaggiante Sovrintendente</v>
      </c>
      <c r="F35" s="76" t="str">
        <f t="shared" si="3"/>
        <v>PROFESSIONAL -B-Controllore Viaggiante Sovrintendente</v>
      </c>
      <c r="G35" s="76" t="str">
        <f t="shared" si="10"/>
        <v>6-PROFESSIONAL -B</v>
      </c>
      <c r="H35" s="76" t="str">
        <f t="shared" si="11"/>
        <v>B-PROFESSIONAL -1-6-B</v>
      </c>
      <c r="I35" s="76">
        <f t="shared" si="4"/>
        <v>9</v>
      </c>
      <c r="J35" s="76">
        <f>COUNTIF($A$6:A35,"="&amp;A35)</f>
        <v>6</v>
      </c>
      <c r="K35" s="76" t="str">
        <f>EDR1!D65</f>
        <v>PROFESSIONAL </v>
      </c>
      <c r="L35" s="76" t="str">
        <f>EDR1!C65</f>
        <v>B</v>
      </c>
      <c r="M35" s="76" t="str">
        <f>EDR1!E65</f>
        <v>Controllore Viaggiante Sovrintendente</v>
      </c>
      <c r="N35" s="76"/>
      <c r="O35" s="76"/>
      <c r="P35" s="82">
        <f>VLOOKUP(L35&amp;$K$2&amp;K35&amp;$K$2&amp;M35,EDR1!$A$36:$Q$268,16,FALSE)</f>
        <v>30</v>
      </c>
      <c r="Q35" s="82">
        <f>VLOOKUP(L35&amp;$K$2&amp;K35&amp;$K$2&amp;M35,EDR1!$A$36:$Q$268,17,FALSE)</f>
        <v>62</v>
      </c>
      <c r="R35" s="77">
        <f t="shared" si="5"/>
        <v>30</v>
      </c>
      <c r="S35" s="80">
        <f t="shared" si="6"/>
      </c>
      <c r="T35" s="77">
        <f t="shared" si="7"/>
      </c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ht="12.75" hidden="1">
      <c r="A36" s="76" t="str">
        <f t="shared" si="8"/>
        <v>B-PROFESSIONAL </v>
      </c>
      <c r="B36" s="81" t="str">
        <f t="shared" si="1"/>
        <v>7-B</v>
      </c>
      <c r="C36" s="81">
        <f>COUNTIF($B$6:B36,"="&amp;B36)</f>
        <v>1</v>
      </c>
      <c r="D36" s="81" t="str">
        <f t="shared" si="2"/>
        <v>1-7-B</v>
      </c>
      <c r="E36" s="76" t="str">
        <f t="shared" si="9"/>
        <v>PROFESSIONAL -Ispettore Principale</v>
      </c>
      <c r="F36" s="76" t="str">
        <f t="shared" si="3"/>
        <v>PROFESSIONAL -B-Ispettore Principale</v>
      </c>
      <c r="G36" s="76" t="str">
        <f t="shared" si="10"/>
        <v>7-PROFESSIONAL -B</v>
      </c>
      <c r="H36" s="76" t="str">
        <f t="shared" si="11"/>
        <v>B-PROFESSIONAL -1-7-B</v>
      </c>
      <c r="I36" s="76">
        <f t="shared" si="4"/>
        <v>9</v>
      </c>
      <c r="J36" s="76">
        <f>COUNTIF($A$6:A36,"="&amp;A36)</f>
        <v>7</v>
      </c>
      <c r="K36" s="76" t="str">
        <f>EDR1!D66</f>
        <v>PROFESSIONAL </v>
      </c>
      <c r="L36" s="76" t="str">
        <f>EDR1!C66</f>
        <v>B</v>
      </c>
      <c r="M36" s="76" t="str">
        <f>EDR1!E66</f>
        <v>Ispettore Principale</v>
      </c>
      <c r="N36" s="76"/>
      <c r="O36" s="76"/>
      <c r="P36" s="82">
        <f>VLOOKUP(L36&amp;$K$2&amp;K36&amp;$K$2&amp;M36,EDR1!$A$36:$Q$268,16,FALSE)</f>
        <v>30</v>
      </c>
      <c r="Q36" s="82">
        <f>VLOOKUP(L36&amp;$K$2&amp;K36&amp;$K$2&amp;M36,EDR1!$A$36:$Q$268,17,FALSE)</f>
        <v>65</v>
      </c>
      <c r="R36" s="77">
        <f t="shared" si="5"/>
        <v>31</v>
      </c>
      <c r="S36" s="80">
        <f t="shared" si="6"/>
      </c>
      <c r="T36" s="77">
        <f t="shared" si="7"/>
      </c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 ht="12.75" hidden="1">
      <c r="A37" s="76" t="str">
        <f t="shared" si="8"/>
        <v>B-PROFESSIONAL </v>
      </c>
      <c r="B37" s="81" t="str">
        <f t="shared" si="1"/>
        <v>8-B</v>
      </c>
      <c r="C37" s="81">
        <f>COUNTIF($B$6:B37,"="&amp;B37)</f>
        <v>1</v>
      </c>
      <c r="D37" s="81" t="str">
        <f t="shared" si="2"/>
        <v>1-8-B</v>
      </c>
      <c r="E37" s="76" t="str">
        <f t="shared" si="9"/>
        <v>PROFESSIONAL -Revisore Superiore di 1^ classe</v>
      </c>
      <c r="F37" s="76" t="str">
        <f t="shared" si="3"/>
        <v>PROFESSIONAL -B-Revisore Superiore di 1^ classe</v>
      </c>
      <c r="G37" s="76" t="str">
        <f t="shared" si="10"/>
        <v>8-PROFESSIONAL -B</v>
      </c>
      <c r="H37" s="76" t="str">
        <f t="shared" si="11"/>
        <v>B-PROFESSIONAL -1-8-B</v>
      </c>
      <c r="I37" s="76">
        <f t="shared" si="4"/>
        <v>9</v>
      </c>
      <c r="J37" s="76">
        <f>COUNTIF($A$6:A37,"="&amp;A37)</f>
        <v>8</v>
      </c>
      <c r="K37" s="76" t="str">
        <f>EDR1!D67</f>
        <v>PROFESSIONAL </v>
      </c>
      <c r="L37" s="76" t="str">
        <f>EDR1!C67</f>
        <v>B</v>
      </c>
      <c r="M37" s="76" t="str">
        <f>EDR1!E67</f>
        <v>Revisore Superiore di 1^ classe</v>
      </c>
      <c r="N37" s="76"/>
      <c r="O37" s="76"/>
      <c r="P37" s="82">
        <f>VLOOKUP(L37&amp;$K$2&amp;K37&amp;$K$2&amp;M37,EDR1!$A$36:$Q$268,16,FALSE)</f>
        <v>30</v>
      </c>
      <c r="Q37" s="82">
        <f>VLOOKUP(L37&amp;$K$2&amp;K37&amp;$K$2&amp;M37,EDR1!$A$36:$Q$268,17,FALSE)</f>
        <v>65</v>
      </c>
      <c r="R37" s="77">
        <f t="shared" si="5"/>
        <v>32</v>
      </c>
      <c r="S37" s="80">
        <f t="shared" si="6"/>
      </c>
      <c r="T37" s="77">
        <f t="shared" si="7"/>
      </c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 ht="12.75" hidden="1">
      <c r="A38" s="76" t="str">
        <f t="shared" si="8"/>
        <v>B-PROFESSIONAL </v>
      </c>
      <c r="B38" s="81" t="str">
        <f t="shared" si="1"/>
        <v>9-B</v>
      </c>
      <c r="C38" s="81">
        <f>COUNTIF($B$6:B38,"="&amp;B38)</f>
        <v>1</v>
      </c>
      <c r="D38" s="81" t="str">
        <f t="shared" si="2"/>
        <v>1-9-B</v>
      </c>
      <c r="E38" s="76" t="str">
        <f t="shared" si="9"/>
        <v>PROFESSIONAL -Segretario Superiore di 1^ classe d’Informatica</v>
      </c>
      <c r="F38" s="76" t="str">
        <f t="shared" si="3"/>
        <v>PROFESSIONAL -B-Segretario Superiore di 1^ classe d’Informatica</v>
      </c>
      <c r="G38" s="76" t="str">
        <f t="shared" si="10"/>
        <v>9-PROFESSIONAL -B</v>
      </c>
      <c r="H38" s="76" t="str">
        <f t="shared" si="11"/>
        <v>B-PROFESSIONAL -1-9-B</v>
      </c>
      <c r="I38" s="76">
        <f t="shared" si="4"/>
        <v>9</v>
      </c>
      <c r="J38" s="76">
        <f>COUNTIF($A$6:A38,"="&amp;A38)</f>
        <v>9</v>
      </c>
      <c r="K38" s="76" t="str">
        <f>EDR1!D68</f>
        <v>PROFESSIONAL </v>
      </c>
      <c r="L38" s="76" t="str">
        <f>EDR1!C68</f>
        <v>B</v>
      </c>
      <c r="M38" s="76" t="str">
        <f>EDR1!E68</f>
        <v>Segretario Superiore di 1^ classe d’Informatica</v>
      </c>
      <c r="N38" s="76"/>
      <c r="O38" s="76"/>
      <c r="P38" s="82">
        <f>VLOOKUP(L38&amp;$K$2&amp;K38&amp;$K$2&amp;M38,EDR1!$A$36:$Q$268,16,FALSE)</f>
        <v>30</v>
      </c>
      <c r="Q38" s="82">
        <f>VLOOKUP(L38&amp;$K$2&amp;K38&amp;$K$2&amp;M38,EDR1!$A$36:$Q$268,17,FALSE)</f>
        <v>65</v>
      </c>
      <c r="R38" s="77">
        <f t="shared" si="5"/>
        <v>33</v>
      </c>
      <c r="S38" s="80">
        <f t="shared" si="6"/>
      </c>
      <c r="T38" s="77">
        <f t="shared" si="7"/>
      </c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 ht="12.75" hidden="1">
      <c r="A39" s="76" t="str">
        <f t="shared" si="8"/>
        <v>B-PROFESSIONAL </v>
      </c>
      <c r="B39" s="81" t="str">
        <f t="shared" si="1"/>
        <v>10-B</v>
      </c>
      <c r="C39" s="81">
        <f>COUNTIF($B$6:B39,"="&amp;B39)</f>
        <v>1</v>
      </c>
      <c r="D39" s="81" t="str">
        <f t="shared" si="2"/>
        <v>1-10-B</v>
      </c>
      <c r="E39" s="76" t="str">
        <f t="shared" si="9"/>
        <v>PROFESSIONAL -Segretario Superiore di 1^ classe</v>
      </c>
      <c r="F39" s="76" t="str">
        <f t="shared" si="3"/>
        <v>PROFESSIONAL -B-Segretario Superiore di 1^ classe</v>
      </c>
      <c r="G39" s="76" t="str">
        <f t="shared" si="10"/>
        <v>10-PROFESSIONAL -B</v>
      </c>
      <c r="H39" s="76" t="str">
        <f t="shared" si="11"/>
        <v>B-PROFESSIONAL -1-10-B</v>
      </c>
      <c r="I39" s="76">
        <f t="shared" si="4"/>
        <v>9</v>
      </c>
      <c r="J39" s="76">
        <f>COUNTIF($A$6:A39,"="&amp;A39)</f>
        <v>10</v>
      </c>
      <c r="K39" s="76" t="str">
        <f>EDR1!D69</f>
        <v>PROFESSIONAL </v>
      </c>
      <c r="L39" s="76" t="str">
        <f>EDR1!C69</f>
        <v>B</v>
      </c>
      <c r="M39" s="76" t="str">
        <f>EDR1!E69</f>
        <v>Segretario Superiore di 1^ classe</v>
      </c>
      <c r="N39" s="76"/>
      <c r="O39" s="76"/>
      <c r="P39" s="82">
        <f>VLOOKUP(L39&amp;$K$2&amp;K39&amp;$K$2&amp;M39,EDR1!$A$36:$Q$268,16,FALSE)</f>
        <v>30</v>
      </c>
      <c r="Q39" s="82">
        <f>VLOOKUP(L39&amp;$K$2&amp;K39&amp;$K$2&amp;M39,EDR1!$A$36:$Q$268,17,FALSE)</f>
        <v>65</v>
      </c>
      <c r="R39" s="77">
        <f t="shared" si="5"/>
        <v>34</v>
      </c>
      <c r="S39" s="80">
        <f t="shared" si="6"/>
      </c>
      <c r="T39" s="77">
        <f t="shared" si="7"/>
      </c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3" ht="12.75" hidden="1">
      <c r="A40" s="76" t="str">
        <f t="shared" si="8"/>
        <v>B-PROFESSIONAL </v>
      </c>
      <c r="B40" s="81" t="str">
        <f t="shared" si="1"/>
        <v>11-B</v>
      </c>
      <c r="C40" s="81">
        <f>COUNTIF($B$6:B40,"="&amp;B40)</f>
        <v>1</v>
      </c>
      <c r="D40" s="81" t="str">
        <f t="shared" si="2"/>
        <v>1-11-B</v>
      </c>
      <c r="E40" s="76" t="str">
        <f t="shared" si="9"/>
        <v>PROFESSIONAL -Segretario Tecnico Superiore di 1^ classe</v>
      </c>
      <c r="F40" s="76" t="str">
        <f t="shared" si="3"/>
        <v>PROFESSIONAL -B-Segretario Tecnico Superiore di 1^ classe</v>
      </c>
      <c r="G40" s="76" t="str">
        <f t="shared" si="10"/>
        <v>11-PROFESSIONAL -B</v>
      </c>
      <c r="H40" s="76" t="str">
        <f t="shared" si="11"/>
        <v>B-PROFESSIONAL -1-11-B</v>
      </c>
      <c r="I40" s="76">
        <f t="shared" si="4"/>
        <v>9</v>
      </c>
      <c r="J40" s="76">
        <f>COUNTIF($A$6:A40,"="&amp;A40)</f>
        <v>11</v>
      </c>
      <c r="K40" s="76" t="str">
        <f>EDR1!D70</f>
        <v>PROFESSIONAL </v>
      </c>
      <c r="L40" s="76" t="str">
        <f>EDR1!C70</f>
        <v>B</v>
      </c>
      <c r="M40" s="76" t="str">
        <f>EDR1!E70</f>
        <v>Segretario Tecnico Superiore di 1^ classe</v>
      </c>
      <c r="N40" s="76"/>
      <c r="O40" s="76"/>
      <c r="P40" s="82">
        <f>VLOOKUP(L40&amp;$K$2&amp;K40&amp;$K$2&amp;M40,EDR1!$A$36:$Q$268,16,FALSE)</f>
        <v>30</v>
      </c>
      <c r="Q40" s="82">
        <f>VLOOKUP(L40&amp;$K$2&amp;K40&amp;$K$2&amp;M40,EDR1!$A$36:$Q$268,17,FALSE)</f>
        <v>65</v>
      </c>
      <c r="R40" s="77">
        <f t="shared" si="5"/>
        <v>35</v>
      </c>
      <c r="S40" s="80">
        <f t="shared" si="6"/>
      </c>
      <c r="T40" s="77">
        <f t="shared" si="7"/>
      </c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</row>
    <row r="41" spans="1:33" ht="12.75" hidden="1">
      <c r="A41" s="76" t="str">
        <f t="shared" si="8"/>
        <v>B-PROFESSIONAL </v>
      </c>
      <c r="B41" s="81" t="str">
        <f t="shared" si="1"/>
        <v>12-B</v>
      </c>
      <c r="C41" s="81">
        <f>COUNTIF($B$6:B41,"="&amp;B41)</f>
        <v>1</v>
      </c>
      <c r="D41" s="81" t="str">
        <f t="shared" si="2"/>
        <v>1-12-B</v>
      </c>
      <c r="E41" s="76" t="str">
        <f t="shared" si="9"/>
        <v>PROFESSIONAL -Ex profilo non previsto</v>
      </c>
      <c r="F41" s="76" t="str">
        <f t="shared" si="3"/>
        <v>PROFESSIONAL -B-Ex profilo non previsto</v>
      </c>
      <c r="G41" s="76" t="str">
        <f t="shared" si="10"/>
        <v>12-PROFESSIONAL -B</v>
      </c>
      <c r="H41" s="76" t="str">
        <f t="shared" si="11"/>
        <v>B-PROFESSIONAL -1-12-B</v>
      </c>
      <c r="I41" s="76">
        <f t="shared" si="4"/>
        <v>9</v>
      </c>
      <c r="J41" s="76">
        <f>COUNTIF($A$6:A41,"="&amp;A41)</f>
        <v>12</v>
      </c>
      <c r="K41" s="76" t="str">
        <f>EDR1!D71</f>
        <v>PROFESSIONAL </v>
      </c>
      <c r="L41" s="76" t="str">
        <f>EDR1!C71</f>
        <v>B</v>
      </c>
      <c r="M41" s="76" t="str">
        <f>EDR1!E71</f>
        <v>Ex profilo non previsto</v>
      </c>
      <c r="N41" s="76"/>
      <c r="O41" s="76"/>
      <c r="P41" s="82">
        <f>VLOOKUP(L41&amp;$K$2&amp;K41&amp;$K$2&amp;M41,EDR1!$A$36:$Q$268,16,FALSE)</f>
        <v>30</v>
      </c>
      <c r="Q41" s="82">
        <f>VLOOKUP(L41&amp;$K$2&amp;K41&amp;$K$2&amp;M41,EDR1!$A$36:$Q$268,17,FALSE)</f>
        <v>65</v>
      </c>
      <c r="R41" s="77">
        <f t="shared" si="5"/>
        <v>36</v>
      </c>
      <c r="S41" s="80">
        <f t="shared" si="6"/>
      </c>
      <c r="T41" s="77">
        <f t="shared" si="7"/>
      </c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 spans="1:33" ht="12.75" hidden="1">
      <c r="A42" s="76" t="str">
        <f t="shared" si="8"/>
        <v>B-PROFESSIONAL (SETTORE MACCHINA)</v>
      </c>
      <c r="B42" s="81" t="str">
        <f t="shared" si="1"/>
        <v>1-B</v>
      </c>
      <c r="C42" s="81">
        <f>COUNTIF($B$6:B42,"="&amp;B42)</f>
        <v>5</v>
      </c>
      <c r="D42" s="81" t="str">
        <f t="shared" si="2"/>
        <v>5-1-B</v>
      </c>
      <c r="E42" s="76" t="str">
        <f t="shared" si="9"/>
        <v>PROFESSIONAL (SETTORE MACCHINA)-Ex profilo non previsto</v>
      </c>
      <c r="F42" s="76" t="str">
        <f t="shared" si="3"/>
        <v>PROFESSIONAL (SETTORE MACCHINA)-B-Ex profilo non previsto</v>
      </c>
      <c r="G42" s="76" t="str">
        <f t="shared" si="10"/>
        <v>1-PROFESSIONAL (SETTORE MACCHINA)-B</v>
      </c>
      <c r="H42" s="76" t="str">
        <f t="shared" si="11"/>
        <v>B-PROFESSIONAL (SETTORE MACCHINA)-5-1-B</v>
      </c>
      <c r="I42" s="76">
        <f t="shared" si="4"/>
        <v>10</v>
      </c>
      <c r="J42" s="76">
        <f>COUNTIF($A$6:A42,"="&amp;A42)</f>
        <v>1</v>
      </c>
      <c r="K42" s="76" t="str">
        <f>EDR1!D72</f>
        <v>PROFESSIONAL (SETTORE MACCHINA)</v>
      </c>
      <c r="L42" s="76" t="str">
        <f>EDR1!C72</f>
        <v>B</v>
      </c>
      <c r="M42" s="76" t="str">
        <f>EDR1!E72</f>
        <v>Ex profilo non previsto</v>
      </c>
      <c r="N42" s="76"/>
      <c r="O42" s="76"/>
      <c r="P42" s="82">
        <f>VLOOKUP(L42&amp;$K$2&amp;K42&amp;$K$2&amp;M42,EDR1!$A$36:$Q$268,16,FALSE)</f>
        <v>30</v>
      </c>
      <c r="Q42" s="82">
        <f>VLOOKUP(L42&amp;$K$2&amp;K42&amp;$K$2&amp;M42,EDR1!$A$36:$Q$268,17,FALSE)</f>
        <v>65</v>
      </c>
      <c r="R42" s="77">
        <f t="shared" si="5"/>
        <v>37</v>
      </c>
      <c r="S42" s="80">
        <f t="shared" si="6"/>
      </c>
      <c r="T42" s="77">
        <f t="shared" si="7"/>
      </c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 ht="12.75" hidden="1">
      <c r="A43" s="76" t="str">
        <f t="shared" si="8"/>
        <v>B-PROFESSIONAL SANITARIO</v>
      </c>
      <c r="B43" s="81" t="str">
        <f t="shared" si="1"/>
        <v>1-B</v>
      </c>
      <c r="C43" s="81">
        <f>COUNTIF($B$6:B43,"="&amp;B43)</f>
        <v>6</v>
      </c>
      <c r="D43" s="81" t="str">
        <f t="shared" si="2"/>
        <v>6-1-B</v>
      </c>
      <c r="E43" s="76" t="str">
        <f t="shared" si="9"/>
        <v>PROFESSIONAL SANITARIO-Ex profilo non previsto</v>
      </c>
      <c r="F43" s="76" t="str">
        <f t="shared" si="3"/>
        <v>PROFESSIONAL SANITARIO-B-Ex profilo non previsto</v>
      </c>
      <c r="G43" s="76" t="str">
        <f t="shared" si="10"/>
        <v>1-PROFESSIONAL SANITARIO-B</v>
      </c>
      <c r="H43" s="76" t="str">
        <f t="shared" si="11"/>
        <v>B-PROFESSIONAL SANITARIO-6-1-B</v>
      </c>
      <c r="I43" s="76">
        <f t="shared" si="4"/>
        <v>11</v>
      </c>
      <c r="J43" s="76">
        <f>COUNTIF($A$6:A43,"="&amp;A43)</f>
        <v>1</v>
      </c>
      <c r="K43" s="76" t="str">
        <f>EDR1!D73</f>
        <v>PROFESSIONAL SANITARIO</v>
      </c>
      <c r="L43" s="76" t="str">
        <f>EDR1!C73</f>
        <v>B</v>
      </c>
      <c r="M43" s="76" t="str">
        <f>EDR1!E73</f>
        <v>Ex profilo non previsto</v>
      </c>
      <c r="N43" s="76"/>
      <c r="O43" s="76"/>
      <c r="P43" s="82">
        <f>VLOOKUP(L43&amp;$K$2&amp;K43&amp;$K$2&amp;M43,EDR1!$A$36:$Q$268,16,FALSE)</f>
        <v>30</v>
      </c>
      <c r="Q43" s="82">
        <f>VLOOKUP(L43&amp;$K$2&amp;K43&amp;$K$2&amp;M43,EDR1!$A$36:$Q$268,17,FALSE)</f>
        <v>65</v>
      </c>
      <c r="R43" s="77">
        <f t="shared" si="5"/>
        <v>38</v>
      </c>
      <c r="S43" s="80">
        <f t="shared" si="6"/>
      </c>
      <c r="T43" s="77">
        <f t="shared" si="7"/>
      </c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</row>
    <row r="44" spans="1:33" ht="12.75" hidden="1">
      <c r="A44" s="76" t="str">
        <f t="shared" si="8"/>
        <v>B-RESPONSABILE DI LINEA OPERATIVA-TECNICA (SETTORE MACCHINA)</v>
      </c>
      <c r="B44" s="81" t="str">
        <f t="shared" si="1"/>
        <v>1-B</v>
      </c>
      <c r="C44" s="81">
        <f>COUNTIF($B$6:B44,"="&amp;B44)</f>
        <v>7</v>
      </c>
      <c r="D44" s="81" t="str">
        <f t="shared" si="2"/>
        <v>7-1-B</v>
      </c>
      <c r="E44" s="76" t="str">
        <f t="shared" si="9"/>
        <v>RESPONSABILE DI LINEA OPERATIVA-TECNICA (SETTORE MACCHINA)-Ex profilo non previsto</v>
      </c>
      <c r="F44" s="76" t="str">
        <f t="shared" si="3"/>
        <v>RESPONSABILE DI LINEA OPERATIVA-TECNICA (SETTORE MACCHINA)-B-Ex profilo non previsto</v>
      </c>
      <c r="G44" s="76" t="str">
        <f t="shared" si="10"/>
        <v>1-RESPONSABILE DI LINEA OPERATIVA-TECNICA (SETTORE MACCHINA)-B</v>
      </c>
      <c r="H44" s="76" t="str">
        <f t="shared" si="11"/>
        <v>B-RESPONSABILE DI LINEA OPERATIVA-TECNICA (SETTORE MACCHINA)-7-1-B</v>
      </c>
      <c r="I44" s="76">
        <f t="shared" si="4"/>
        <v>12</v>
      </c>
      <c r="J44" s="76">
        <f>COUNTIF($A$6:A44,"="&amp;A44)</f>
        <v>1</v>
      </c>
      <c r="K44" s="76" t="str">
        <f>EDR1!D74</f>
        <v>RESPONSABILE DI LINEA OPERATIVA-TECNICA (SETTORE MACCHINA)</v>
      </c>
      <c r="L44" s="76" t="str">
        <f>EDR1!C74</f>
        <v>B</v>
      </c>
      <c r="M44" s="76" t="str">
        <f>EDR1!E74</f>
        <v>Ex profilo non previsto</v>
      </c>
      <c r="N44" s="76"/>
      <c r="O44" s="76"/>
      <c r="P44" s="82">
        <f>VLOOKUP(L44&amp;$K$2&amp;K44&amp;$K$2&amp;M44,EDR1!$A$36:$Q$268,16,FALSE)</f>
        <v>30</v>
      </c>
      <c r="Q44" s="82">
        <f>VLOOKUP(L44&amp;$K$2&amp;K44&amp;$K$2&amp;M44,EDR1!$A$36:$Q$268,17,FALSE)</f>
        <v>65</v>
      </c>
      <c r="R44" s="77">
        <f t="shared" si="5"/>
        <v>39</v>
      </c>
      <c r="S44" s="80">
        <f t="shared" si="6"/>
      </c>
      <c r="T44" s="77">
        <f t="shared" si="7"/>
      </c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</row>
    <row r="45" spans="1:33" ht="12.75" hidden="1">
      <c r="A45" s="76" t="str">
        <f t="shared" si="8"/>
        <v>B-RESPONSABILE DI LINEA/UNITÁ OPERATIVA/TECNICA</v>
      </c>
      <c r="B45" s="81" t="str">
        <f t="shared" si="1"/>
        <v>1-B</v>
      </c>
      <c r="C45" s="81">
        <f>COUNTIF($B$6:B45,"="&amp;B45)</f>
        <v>8</v>
      </c>
      <c r="D45" s="81" t="str">
        <f t="shared" si="2"/>
        <v>8-1-B</v>
      </c>
      <c r="E45" s="76" t="str">
        <f t="shared" si="9"/>
        <v>RESPONSABILE DI LINEA/UNITÁ OPERATIVA/TECNICA-Ex profilo non previsto</v>
      </c>
      <c r="F45" s="76" t="str">
        <f t="shared" si="3"/>
        <v>RESPONSABILE DI LINEA/UNITÁ OPERATIVA/TECNICA-B-Ex profilo non previsto</v>
      </c>
      <c r="G45" s="76" t="str">
        <f t="shared" si="10"/>
        <v>1-RESPONSABILE DI LINEA/UNITÁ OPERATIVA/TECNICA-B</v>
      </c>
      <c r="H45" s="76" t="str">
        <f t="shared" si="11"/>
        <v>B-RESPONSABILE DI LINEA/UNITÁ OPERATIVA/TECNICA-8-1-B</v>
      </c>
      <c r="I45" s="76">
        <f t="shared" si="4"/>
        <v>13</v>
      </c>
      <c r="J45" s="76">
        <f>COUNTIF($A$6:A45,"="&amp;A45)</f>
        <v>1</v>
      </c>
      <c r="K45" s="76" t="str">
        <f>EDR1!D75</f>
        <v>RESPONSABILE DI LINEA/UNITÁ OPERATIVA/TECNICA</v>
      </c>
      <c r="L45" s="76" t="str">
        <f>EDR1!C75</f>
        <v>B</v>
      </c>
      <c r="M45" s="76" t="str">
        <f>EDR1!E75</f>
        <v>Ex profilo non previsto</v>
      </c>
      <c r="N45" s="76"/>
      <c r="O45" s="76"/>
      <c r="P45" s="82">
        <f>VLOOKUP(L45&amp;$K$2&amp;K45&amp;$K$2&amp;M45,EDR1!$A$36:$Q$268,16,FALSE)</f>
        <v>30</v>
      </c>
      <c r="Q45" s="82">
        <f>VLOOKUP(L45&amp;$K$2&amp;K45&amp;$K$2&amp;M45,EDR1!$A$36:$Q$268,17,FALSE)</f>
        <v>65</v>
      </c>
      <c r="R45" s="77">
        <f t="shared" si="5"/>
        <v>40</v>
      </c>
      <c r="S45" s="80">
        <f t="shared" si="6"/>
      </c>
      <c r="T45" s="77">
        <f t="shared" si="7"/>
      </c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1:33" ht="12.75" hidden="1">
      <c r="A46" s="76" t="str">
        <f t="shared" si="8"/>
        <v>C-IMPIEGATO DIRETTIVO</v>
      </c>
      <c r="B46" s="81" t="str">
        <f t="shared" si="1"/>
        <v>1-C</v>
      </c>
      <c r="C46" s="81">
        <f>COUNTIF($B$6:B46,"="&amp;B46)</f>
        <v>1</v>
      </c>
      <c r="D46" s="81" t="str">
        <f t="shared" si="2"/>
        <v>1-1-C</v>
      </c>
      <c r="E46" s="76" t="str">
        <f t="shared" si="9"/>
        <v>IMPIEGATO DIRETTIVO-Ispettore</v>
      </c>
      <c r="F46" s="76" t="str">
        <f t="shared" si="3"/>
        <v>IMPIEGATO DIRETTIVO-C-Ispettore</v>
      </c>
      <c r="G46" s="76" t="str">
        <f t="shared" si="10"/>
        <v>1-IMPIEGATO DIRETTIVO-C</v>
      </c>
      <c r="H46" s="76" t="str">
        <f t="shared" si="11"/>
        <v>C-IMPIEGATO DIRETTIVO-1-1-C</v>
      </c>
      <c r="I46" s="76">
        <f t="shared" si="4"/>
        <v>14</v>
      </c>
      <c r="J46" s="76">
        <f>COUNTIF($A$6:A46,"="&amp;A46)</f>
        <v>1</v>
      </c>
      <c r="K46" s="76" t="str">
        <f>EDR1!D76</f>
        <v>IMPIEGATO DIRETTIVO</v>
      </c>
      <c r="L46" s="76" t="str">
        <f>EDR1!C76</f>
        <v>C</v>
      </c>
      <c r="M46" s="76" t="str">
        <f>EDR1!E76</f>
        <v>Ispettore</v>
      </c>
      <c r="N46" s="76"/>
      <c r="O46" s="76"/>
      <c r="P46" s="82">
        <f>VLOOKUP(L46&amp;$K$2&amp;K46&amp;$K$2&amp;M46,EDR1!$A$36:$Q$268,16,FALSE)</f>
        <v>30</v>
      </c>
      <c r="Q46" s="82">
        <f>VLOOKUP(L46&amp;$K$2&amp;K46&amp;$K$2&amp;M46,EDR1!$A$36:$Q$268,17,FALSE)</f>
        <v>65</v>
      </c>
      <c r="R46" s="77">
        <f t="shared" si="5"/>
        <v>41</v>
      </c>
      <c r="S46" s="80">
        <f t="shared" si="6"/>
      </c>
      <c r="T46" s="77">
        <f t="shared" si="7"/>
      </c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1:33" ht="12.75" hidden="1">
      <c r="A47" s="76" t="str">
        <f t="shared" si="8"/>
        <v>D1-ANALISTA CONTABILE</v>
      </c>
      <c r="B47" s="81" t="str">
        <f t="shared" si="1"/>
        <v>1-D1</v>
      </c>
      <c r="C47" s="81">
        <f>COUNTIF($B$6:B47,"="&amp;B47)</f>
        <v>1</v>
      </c>
      <c r="D47" s="81" t="str">
        <f t="shared" si="2"/>
        <v>1-1-D1</v>
      </c>
      <c r="E47" s="76" t="str">
        <f t="shared" si="9"/>
        <v>ANALISTA CONTABILE-Ex profilo non previsto</v>
      </c>
      <c r="F47" s="76" t="str">
        <f t="shared" si="3"/>
        <v>ANALISTA CONTABILE-D1-Ex profilo non previsto</v>
      </c>
      <c r="G47" s="76" t="str">
        <f t="shared" si="10"/>
        <v>1-ANALISTA CONTABILE-D1</v>
      </c>
      <c r="H47" s="76" t="str">
        <f t="shared" si="11"/>
        <v>D1-ANALISTA CONTABILE-1-1-D1</v>
      </c>
      <c r="I47" s="76">
        <f t="shared" si="4"/>
        <v>15</v>
      </c>
      <c r="J47" s="76">
        <f>COUNTIF($A$6:A47,"="&amp;A47)</f>
        <v>1</v>
      </c>
      <c r="K47" s="76" t="str">
        <f>EDR1!D77</f>
        <v>ANALISTA CONTABILE</v>
      </c>
      <c r="L47" s="76" t="str">
        <f>EDR1!C77</f>
        <v>D1</v>
      </c>
      <c r="M47" s="76" t="str">
        <f>EDR1!E77</f>
        <v>Ex profilo non previsto</v>
      </c>
      <c r="N47" s="76"/>
      <c r="O47" s="76"/>
      <c r="P47" s="82">
        <f>VLOOKUP(L47&amp;$K$2&amp;K47&amp;$K$2&amp;M47,EDR1!$A$36:$Q$268,16,FALSE)</f>
        <v>30</v>
      </c>
      <c r="Q47" s="82">
        <f>VLOOKUP(L47&amp;$K$2&amp;K47&amp;$K$2&amp;M47,EDR1!$A$36:$Q$268,17,FALSE)</f>
        <v>65</v>
      </c>
      <c r="R47" s="77">
        <f t="shared" si="5"/>
        <v>42</v>
      </c>
      <c r="S47" s="80">
        <f t="shared" si="6"/>
      </c>
      <c r="T47" s="77">
        <f t="shared" si="7"/>
      </c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1:33" ht="12.75" hidden="1">
      <c r="A48" s="76" t="str">
        <f t="shared" si="8"/>
        <v>D1-ANALISTA PROGRAMMATORE</v>
      </c>
      <c r="B48" s="81" t="str">
        <f t="shared" si="1"/>
        <v>1-D1</v>
      </c>
      <c r="C48" s="81">
        <f>COUNTIF($B$6:B48,"="&amp;B48)</f>
        <v>2</v>
      </c>
      <c r="D48" s="81" t="str">
        <f t="shared" si="2"/>
        <v>2-1-D1</v>
      </c>
      <c r="E48" s="76" t="str">
        <f t="shared" si="9"/>
        <v>ANALISTA PROGRAMMATORE-Ex profilo non previsto</v>
      </c>
      <c r="F48" s="76" t="str">
        <f t="shared" si="3"/>
        <v>ANALISTA PROGRAMMATORE-D1-Ex profilo non previsto</v>
      </c>
      <c r="G48" s="76" t="str">
        <f t="shared" si="10"/>
        <v>1-ANALISTA PROGRAMMATORE-D1</v>
      </c>
      <c r="H48" s="76" t="str">
        <f t="shared" si="11"/>
        <v>D1-ANALISTA PROGRAMMATORE-2-1-D1</v>
      </c>
      <c r="I48" s="76">
        <f t="shared" si="4"/>
        <v>16</v>
      </c>
      <c r="J48" s="76">
        <f>COUNTIF($A$6:A48,"="&amp;A48)</f>
        <v>1</v>
      </c>
      <c r="K48" s="76" t="str">
        <f>EDR1!D78</f>
        <v>ANALISTA PROGRAMMATORE</v>
      </c>
      <c r="L48" s="76" t="str">
        <f>EDR1!C78</f>
        <v>D1</v>
      </c>
      <c r="M48" s="76" t="str">
        <f>EDR1!E78</f>
        <v>Ex profilo non previsto</v>
      </c>
      <c r="N48" s="76"/>
      <c r="O48" s="76"/>
      <c r="P48" s="82">
        <f>VLOOKUP(L48&amp;$K$2&amp;K48&amp;$K$2&amp;M48,EDR1!$A$36:$Q$268,16,FALSE)</f>
        <v>30</v>
      </c>
      <c r="Q48" s="82">
        <f>VLOOKUP(L48&amp;$K$2&amp;K48&amp;$K$2&amp;M48,EDR1!$A$36:$Q$268,17,FALSE)</f>
        <v>65</v>
      </c>
      <c r="R48" s="77">
        <f t="shared" si="5"/>
        <v>43</v>
      </c>
      <c r="S48" s="80">
        <f t="shared" si="6"/>
      </c>
      <c r="T48" s="77">
        <f t="shared" si="7"/>
      </c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 ht="12.75" hidden="1">
      <c r="A49" s="76" t="str">
        <f t="shared" si="8"/>
        <v>D1-CAPO ELETTRICISTA</v>
      </c>
      <c r="B49" s="81" t="str">
        <f t="shared" si="1"/>
        <v>1-D1</v>
      </c>
      <c r="C49" s="81">
        <f>COUNTIF($B$6:B49,"="&amp;B49)</f>
        <v>3</v>
      </c>
      <c r="D49" s="81" t="str">
        <f t="shared" si="2"/>
        <v>3-1-D1</v>
      </c>
      <c r="E49" s="76" t="str">
        <f t="shared" si="9"/>
        <v>CAPO ELETTRICISTA-Capo Elettricista</v>
      </c>
      <c r="F49" s="76" t="str">
        <f t="shared" si="3"/>
        <v>CAPO ELETTRICISTA-D1-Capo Elettricista</v>
      </c>
      <c r="G49" s="76" t="str">
        <f t="shared" si="10"/>
        <v>1-CAPO ELETTRICISTA-D1</v>
      </c>
      <c r="H49" s="76" t="str">
        <f t="shared" si="11"/>
        <v>D1-CAPO ELETTRICISTA-3-1-D1</v>
      </c>
      <c r="I49" s="76">
        <f t="shared" si="4"/>
        <v>17</v>
      </c>
      <c r="J49" s="76">
        <f>COUNTIF($A$6:A49,"="&amp;A49)</f>
        <v>1</v>
      </c>
      <c r="K49" s="76" t="str">
        <f>EDR1!D79</f>
        <v>CAPO ELETTRICISTA</v>
      </c>
      <c r="L49" s="76" t="str">
        <f>EDR1!C79</f>
        <v>D1</v>
      </c>
      <c r="M49" s="76" t="str">
        <f>EDR1!E79</f>
        <v>Capo Elettricista</v>
      </c>
      <c r="N49" s="76"/>
      <c r="O49" s="76"/>
      <c r="P49" s="82">
        <f>VLOOKUP(L49&amp;$K$2&amp;K49&amp;$K$2&amp;M49,EDR1!$A$36:$Q$268,16,FALSE)</f>
        <v>25</v>
      </c>
      <c r="Q49" s="82">
        <f>VLOOKUP(L49&amp;$K$2&amp;K49&amp;$K$2&amp;M49,EDR1!$A$36:$Q$268,17,FALSE)</f>
        <v>58</v>
      </c>
      <c r="R49" s="77">
        <f t="shared" si="5"/>
        <v>44</v>
      </c>
      <c r="S49" s="80">
        <f t="shared" si="6"/>
      </c>
      <c r="T49" s="77">
        <f t="shared" si="7"/>
      </c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1:33" ht="12.75" hidden="1">
      <c r="A50" s="76" t="str">
        <f t="shared" si="8"/>
        <v>D1-CAPO MOTORISTA</v>
      </c>
      <c r="B50" s="81" t="str">
        <f t="shared" si="1"/>
        <v>1-D1</v>
      </c>
      <c r="C50" s="81">
        <f>COUNTIF($B$6:B50,"="&amp;B50)</f>
        <v>4</v>
      </c>
      <c r="D50" s="81" t="str">
        <f t="shared" si="2"/>
        <v>4-1-D1</v>
      </c>
      <c r="E50" s="76" t="str">
        <f t="shared" si="9"/>
        <v>CAPO MOTORISTA-Capo Motorista</v>
      </c>
      <c r="F50" s="76" t="str">
        <f t="shared" si="3"/>
        <v>CAPO MOTORISTA-D1-Capo Motorista</v>
      </c>
      <c r="G50" s="76" t="str">
        <f t="shared" si="10"/>
        <v>1-CAPO MOTORISTA-D1</v>
      </c>
      <c r="H50" s="76" t="str">
        <f t="shared" si="11"/>
        <v>D1-CAPO MOTORISTA-4-1-D1</v>
      </c>
      <c r="I50" s="76">
        <f t="shared" si="4"/>
        <v>18</v>
      </c>
      <c r="J50" s="76">
        <f>COUNTIF($A$6:A50,"="&amp;A50)</f>
        <v>1</v>
      </c>
      <c r="K50" s="76" t="str">
        <f>EDR1!D80</f>
        <v>CAPO MOTORISTA</v>
      </c>
      <c r="L50" s="76" t="str">
        <f>EDR1!C80</f>
        <v>D1</v>
      </c>
      <c r="M50" s="76" t="str">
        <f>EDR1!E80</f>
        <v>Capo Motorista</v>
      </c>
      <c r="N50" s="76"/>
      <c r="O50" s="76"/>
      <c r="P50" s="82">
        <f>VLOOKUP(L50&amp;$K$2&amp;K50&amp;$K$2&amp;M50,EDR1!$A$36:$Q$268,16,FALSE)</f>
        <v>25</v>
      </c>
      <c r="Q50" s="82">
        <f>VLOOKUP(L50&amp;$K$2&amp;K50&amp;$K$2&amp;M50,EDR1!$A$36:$Q$268,17,FALSE)</f>
        <v>58</v>
      </c>
      <c r="R50" s="77">
        <f t="shared" si="5"/>
        <v>45</v>
      </c>
      <c r="S50" s="80">
        <f t="shared" si="6"/>
      </c>
      <c r="T50" s="77">
        <f t="shared" si="7"/>
      </c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1:33" ht="12.75" hidden="1">
      <c r="A51" s="76" t="str">
        <f t="shared" si="8"/>
        <v>D1-CAPO STAZIONE</v>
      </c>
      <c r="B51" s="81" t="str">
        <f t="shared" si="1"/>
        <v>1-D1</v>
      </c>
      <c r="C51" s="81">
        <f>COUNTIF($B$6:B51,"="&amp;B51)</f>
        <v>5</v>
      </c>
      <c r="D51" s="81" t="str">
        <f t="shared" si="2"/>
        <v>5-1-D1</v>
      </c>
      <c r="E51" s="76" t="str">
        <f t="shared" si="9"/>
        <v>CAPO STAZIONE-Capo Stazione Superiore (par. 186)</v>
      </c>
      <c r="F51" s="76" t="str">
        <f t="shared" si="3"/>
        <v>CAPO STAZIONE-D1-Capo Stazione Superiore (par. 186)</v>
      </c>
      <c r="G51" s="76" t="str">
        <f t="shared" si="10"/>
        <v>1-CAPO STAZIONE-D1</v>
      </c>
      <c r="H51" s="76" t="str">
        <f t="shared" si="11"/>
        <v>D1-CAPO STAZIONE-5-1-D1</v>
      </c>
      <c r="I51" s="76">
        <f t="shared" si="4"/>
        <v>19</v>
      </c>
      <c r="J51" s="76">
        <f>COUNTIF($A$6:A51,"="&amp;A51)</f>
        <v>1</v>
      </c>
      <c r="K51" s="76" t="str">
        <f>EDR1!D81</f>
        <v>CAPO STAZIONE</v>
      </c>
      <c r="L51" s="76" t="str">
        <f>EDR1!C81</f>
        <v>D1</v>
      </c>
      <c r="M51" s="76" t="str">
        <f>EDR1!E81</f>
        <v>Capo Stazione Superiore (par. 186)</v>
      </c>
      <c r="N51" s="76"/>
      <c r="O51" s="76"/>
      <c r="P51" s="82">
        <f>VLOOKUP(L51&amp;$K$2&amp;K51&amp;$K$2&amp;M51,EDR1!$A$36:$Q$268,16,FALSE)</f>
        <v>30</v>
      </c>
      <c r="Q51" s="82">
        <f>VLOOKUP(L51&amp;$K$2&amp;K51&amp;$K$2&amp;M51,EDR1!$A$36:$Q$268,17,FALSE)</f>
        <v>65</v>
      </c>
      <c r="R51" s="77">
        <f t="shared" si="5"/>
        <v>46</v>
      </c>
      <c r="S51" s="80">
        <f t="shared" si="6"/>
      </c>
      <c r="T51" s="77">
        <f t="shared" si="7"/>
      </c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3" ht="12.75" hidden="1">
      <c r="A52" s="76" t="str">
        <f t="shared" si="8"/>
        <v>D1-CAPO TECNICO</v>
      </c>
      <c r="B52" s="81" t="str">
        <f t="shared" si="1"/>
        <v>1-D1</v>
      </c>
      <c r="C52" s="81">
        <f>COUNTIF($B$6:B52,"="&amp;B52)</f>
        <v>6</v>
      </c>
      <c r="D52" s="81" t="str">
        <f t="shared" si="2"/>
        <v>6-1-D1</v>
      </c>
      <c r="E52" s="76" t="str">
        <f t="shared" si="9"/>
        <v>CAPO TECNICO-Capo Tecnico Sup. Manutenzione Infrastrutture (par. 186)</v>
      </c>
      <c r="F52" s="76" t="str">
        <f t="shared" si="3"/>
        <v>CAPO TECNICO-D1-Capo Tecnico Sup. Manutenzione Infrastrutture (par. 186)</v>
      </c>
      <c r="G52" s="76" t="str">
        <f t="shared" si="10"/>
        <v>1-CAPO TECNICO-D1</v>
      </c>
      <c r="H52" s="76" t="str">
        <f t="shared" si="11"/>
        <v>D1-CAPO TECNICO-6-1-D1</v>
      </c>
      <c r="I52" s="76">
        <f t="shared" si="4"/>
        <v>20</v>
      </c>
      <c r="J52" s="76">
        <f>COUNTIF($A$6:A52,"="&amp;A52)</f>
        <v>1</v>
      </c>
      <c r="K52" s="76" t="str">
        <f>EDR1!D82</f>
        <v>CAPO TECNICO</v>
      </c>
      <c r="L52" s="76" t="str">
        <f>EDR1!C82</f>
        <v>D1</v>
      </c>
      <c r="M52" s="76" t="str">
        <f>EDR1!E82</f>
        <v>Capo Tecnico Sup. Manutenzione Infrastrutture (par. 186)</v>
      </c>
      <c r="N52" s="76"/>
      <c r="O52" s="76"/>
      <c r="P52" s="82">
        <f>VLOOKUP(L52&amp;$K$2&amp;K52&amp;$K$2&amp;M52,EDR1!$A$36:$Q$268,16,FALSE)</f>
        <v>30</v>
      </c>
      <c r="Q52" s="82">
        <f>VLOOKUP(L52&amp;$K$2&amp;K52&amp;$K$2&amp;M52,EDR1!$A$36:$Q$268,17,FALSE)</f>
        <v>65</v>
      </c>
      <c r="R52" s="77">
        <f t="shared" si="5"/>
        <v>47</v>
      </c>
      <c r="S52" s="80">
        <f t="shared" si="6"/>
      </c>
      <c r="T52" s="77">
        <f t="shared" si="7"/>
      </c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1:33" ht="12.75" hidden="1">
      <c r="A53" s="76" t="str">
        <f t="shared" si="8"/>
        <v>D1-CAPO TECNICO</v>
      </c>
      <c r="B53" s="81" t="str">
        <f t="shared" si="1"/>
        <v>2-D1</v>
      </c>
      <c r="C53" s="81">
        <f>COUNTIF($B$6:B53,"="&amp;B53)</f>
        <v>1</v>
      </c>
      <c r="D53" s="81" t="str">
        <f t="shared" si="2"/>
        <v>1-2-D1</v>
      </c>
      <c r="E53" s="76" t="str">
        <f t="shared" si="9"/>
        <v>CAPO TECNICO-Capo Tecnico Sup. Manutenzione Rotabili (par. 186)</v>
      </c>
      <c r="F53" s="76" t="str">
        <f t="shared" si="3"/>
        <v>CAPO TECNICO-D1-Capo Tecnico Sup. Manutenzione Rotabili (par. 186)</v>
      </c>
      <c r="G53" s="76" t="str">
        <f t="shared" si="10"/>
        <v>2-CAPO TECNICO-D1</v>
      </c>
      <c r="H53" s="76" t="str">
        <f t="shared" si="11"/>
        <v>D1-CAPO TECNICO-1-2-D1</v>
      </c>
      <c r="I53" s="76">
        <f t="shared" si="4"/>
        <v>20</v>
      </c>
      <c r="J53" s="76">
        <f>COUNTIF($A$6:A53,"="&amp;A53)</f>
        <v>2</v>
      </c>
      <c r="K53" s="76" t="str">
        <f>EDR1!D83</f>
        <v>CAPO TECNICO</v>
      </c>
      <c r="L53" s="76" t="str">
        <f>EDR1!C83</f>
        <v>D1</v>
      </c>
      <c r="M53" s="76" t="str">
        <f>EDR1!E83</f>
        <v>Capo Tecnico Sup. Manutenzione Rotabili (par. 186)</v>
      </c>
      <c r="N53" s="76"/>
      <c r="O53" s="76"/>
      <c r="P53" s="82">
        <f>VLOOKUP(L53&amp;$K$2&amp;K53&amp;$K$2&amp;M53,EDR1!$A$36:$Q$268,16,FALSE)</f>
        <v>30</v>
      </c>
      <c r="Q53" s="82">
        <f>VLOOKUP(L53&amp;$K$2&amp;K53&amp;$K$2&amp;M53,EDR1!$A$36:$Q$268,17,FALSE)</f>
        <v>65</v>
      </c>
      <c r="R53" s="77">
        <f t="shared" si="5"/>
        <v>48</v>
      </c>
      <c r="S53" s="80">
        <f t="shared" si="6"/>
      </c>
      <c r="T53" s="77">
        <f t="shared" si="7"/>
      </c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</row>
    <row r="54" spans="1:33" ht="12.75" hidden="1">
      <c r="A54" s="76" t="str">
        <f t="shared" si="8"/>
        <v>D1-CAPO TECNICO</v>
      </c>
      <c r="B54" s="81" t="str">
        <f t="shared" si="1"/>
        <v>3-D1</v>
      </c>
      <c r="C54" s="81">
        <f>COUNTIF($B$6:B54,"="&amp;B54)</f>
        <v>1</v>
      </c>
      <c r="D54" s="81" t="str">
        <f t="shared" si="2"/>
        <v>1-3-D1</v>
      </c>
      <c r="E54" s="76" t="str">
        <f t="shared" si="9"/>
        <v>CAPO TECNICO-Capo Tecnico Sup. Officine Navi Traghetto (par. 186)</v>
      </c>
      <c r="F54" s="76" t="str">
        <f t="shared" si="3"/>
        <v>CAPO TECNICO-D1-Capo Tecnico Sup. Officine Navi Traghetto (par. 186)</v>
      </c>
      <c r="G54" s="76" t="str">
        <f t="shared" si="10"/>
        <v>3-CAPO TECNICO-D1</v>
      </c>
      <c r="H54" s="76" t="str">
        <f t="shared" si="11"/>
        <v>D1-CAPO TECNICO-1-3-D1</v>
      </c>
      <c r="I54" s="76">
        <f t="shared" si="4"/>
        <v>20</v>
      </c>
      <c r="J54" s="76">
        <f>COUNTIF($A$6:A54,"="&amp;A54)</f>
        <v>3</v>
      </c>
      <c r="K54" s="76" t="str">
        <f>EDR1!D84</f>
        <v>CAPO TECNICO</v>
      </c>
      <c r="L54" s="76" t="str">
        <f>EDR1!C84</f>
        <v>D1</v>
      </c>
      <c r="M54" s="76" t="str">
        <f>EDR1!E84</f>
        <v>Capo Tecnico Sup. Officine Navi Traghetto (par. 186)</v>
      </c>
      <c r="N54" s="76"/>
      <c r="O54" s="76"/>
      <c r="P54" s="82">
        <f>VLOOKUP(L54&amp;$K$2&amp;K54&amp;$K$2&amp;M54,EDR1!$A$36:$Q$268,16,FALSE)</f>
        <v>30</v>
      </c>
      <c r="Q54" s="82">
        <f>VLOOKUP(L54&amp;$K$2&amp;K54&amp;$K$2&amp;M54,EDR1!$A$36:$Q$268,17,FALSE)</f>
        <v>65</v>
      </c>
      <c r="R54" s="77">
        <f t="shared" si="5"/>
        <v>49</v>
      </c>
      <c r="S54" s="80">
        <f t="shared" si="6"/>
      </c>
      <c r="T54" s="77">
        <f t="shared" si="7"/>
      </c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</row>
    <row r="55" spans="1:33" ht="12.75" hidden="1">
      <c r="A55" s="76" t="str">
        <f t="shared" si="8"/>
        <v>D1-CAPO TECNICO</v>
      </c>
      <c r="B55" s="81" t="str">
        <f t="shared" si="1"/>
        <v>4-D1</v>
      </c>
      <c r="C55" s="81">
        <f>COUNTIF($B$6:B55,"="&amp;B55)</f>
        <v>1</v>
      </c>
      <c r="D55" s="81" t="str">
        <f t="shared" si="2"/>
        <v>1-4-D1</v>
      </c>
      <c r="E55" s="76" t="str">
        <f t="shared" si="9"/>
        <v>CAPO TECNICO-Capo Tecnico Sup. Officine Nazionali Infrastrutture (par. 186)</v>
      </c>
      <c r="F55" s="76" t="str">
        <f t="shared" si="3"/>
        <v>CAPO TECNICO-D1-Capo Tecnico Sup. Officine Nazionali Infrastrutture (par. 186)</v>
      </c>
      <c r="G55" s="76" t="str">
        <f t="shared" si="10"/>
        <v>4-CAPO TECNICO-D1</v>
      </c>
      <c r="H55" s="76" t="str">
        <f t="shared" si="11"/>
        <v>D1-CAPO TECNICO-1-4-D1</v>
      </c>
      <c r="I55" s="76">
        <f t="shared" si="4"/>
        <v>20</v>
      </c>
      <c r="J55" s="76">
        <f>COUNTIF($A$6:A55,"="&amp;A55)</f>
        <v>4</v>
      </c>
      <c r="K55" s="76" t="str">
        <f>EDR1!D85</f>
        <v>CAPO TECNICO</v>
      </c>
      <c r="L55" s="76" t="str">
        <f>EDR1!C85</f>
        <v>D1</v>
      </c>
      <c r="M55" s="76" t="str">
        <f>EDR1!E85</f>
        <v>Capo Tecnico Sup. Officine Nazionali Infrastrutture (par. 186)</v>
      </c>
      <c r="N55" s="76"/>
      <c r="O55" s="76"/>
      <c r="P55" s="82">
        <f>VLOOKUP(L55&amp;$K$2&amp;K55&amp;$K$2&amp;M55,EDR1!$A$36:$Q$268,16,FALSE)</f>
        <v>30</v>
      </c>
      <c r="Q55" s="82">
        <f>VLOOKUP(L55&amp;$K$2&amp;K55&amp;$K$2&amp;M55,EDR1!$A$36:$Q$268,17,FALSE)</f>
        <v>65</v>
      </c>
      <c r="R55" s="77">
        <f t="shared" si="5"/>
        <v>50</v>
      </c>
      <c r="S55" s="80">
        <f t="shared" si="6"/>
      </c>
      <c r="T55" s="77">
        <f t="shared" si="7"/>
      </c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1:33" ht="12.75" hidden="1">
      <c r="A56" s="76" t="str">
        <f t="shared" si="8"/>
        <v>D1-CAPO TECNICO</v>
      </c>
      <c r="B56" s="81" t="str">
        <f t="shared" si="1"/>
        <v>5-D1</v>
      </c>
      <c r="C56" s="81">
        <f>COUNTIF($B$6:B56,"="&amp;B56)</f>
        <v>1</v>
      </c>
      <c r="D56" s="81" t="str">
        <f t="shared" si="2"/>
        <v>1-5-D1</v>
      </c>
      <c r="E56" s="76" t="str">
        <f t="shared" si="9"/>
        <v>CAPO TECNICO-Capo Tecnico Superiore (par. 186)</v>
      </c>
      <c r="F56" s="76" t="str">
        <f t="shared" si="3"/>
        <v>CAPO TECNICO-D1-Capo Tecnico Superiore (par. 186)</v>
      </c>
      <c r="G56" s="76" t="str">
        <f t="shared" si="10"/>
        <v>5-CAPO TECNICO-D1</v>
      </c>
      <c r="H56" s="76" t="str">
        <f t="shared" si="11"/>
        <v>D1-CAPO TECNICO-1-5-D1</v>
      </c>
      <c r="I56" s="76">
        <f t="shared" si="4"/>
        <v>20</v>
      </c>
      <c r="J56" s="76">
        <f>COUNTIF($A$6:A56,"="&amp;A56)</f>
        <v>5</v>
      </c>
      <c r="K56" s="76" t="str">
        <f>EDR1!D86</f>
        <v>CAPO TECNICO</v>
      </c>
      <c r="L56" s="76" t="str">
        <f>EDR1!C86</f>
        <v>D1</v>
      </c>
      <c r="M56" s="76" t="str">
        <f>EDR1!E86</f>
        <v>Capo Tecnico Superiore (par. 186)</v>
      </c>
      <c r="N56" s="76"/>
      <c r="O56" s="76"/>
      <c r="P56" s="82">
        <f>VLOOKUP(L56&amp;$K$2&amp;K56&amp;$K$2&amp;M56,EDR1!$A$36:$Q$268,16,FALSE)</f>
        <v>30</v>
      </c>
      <c r="Q56" s="82">
        <f>VLOOKUP(L56&amp;$K$2&amp;K56&amp;$K$2&amp;M56,EDR1!$A$36:$Q$268,17,FALSE)</f>
        <v>65</v>
      </c>
      <c r="R56" s="77">
        <f t="shared" si="5"/>
        <v>51</v>
      </c>
      <c r="S56" s="80">
        <f t="shared" si="6"/>
      </c>
      <c r="T56" s="77">
        <f t="shared" si="7"/>
      </c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</row>
    <row r="57" spans="1:33" ht="12.75" hidden="1">
      <c r="A57" s="76" t="str">
        <f t="shared" si="8"/>
        <v>D1-CAPO TRENO/CAPO SERVIZI TRENO</v>
      </c>
      <c r="B57" s="81" t="str">
        <f t="shared" si="1"/>
        <v>1-D1</v>
      </c>
      <c r="C57" s="81">
        <f>COUNTIF($B$6:B57,"="&amp;B57)</f>
        <v>7</v>
      </c>
      <c r="D57" s="81" t="str">
        <f t="shared" si="2"/>
        <v>7-1-D1</v>
      </c>
      <c r="E57" s="76" t="str">
        <f t="shared" si="9"/>
        <v>CAPO TRENO/CAPO SERVIZI TRENO-Capo Treno/Capo Servizi Treno (par. 186)</v>
      </c>
      <c r="F57" s="76" t="str">
        <f t="shared" si="3"/>
        <v>CAPO TRENO/CAPO SERVIZI TRENO-D1-Capo Treno/Capo Servizi Treno (par. 186)</v>
      </c>
      <c r="G57" s="76" t="str">
        <f t="shared" si="10"/>
        <v>1-CAPO TRENO/CAPO SERVIZI TRENO-D1</v>
      </c>
      <c r="H57" s="76" t="str">
        <f t="shared" si="11"/>
        <v>D1-CAPO TRENO/CAPO SERVIZI TRENO-7-1-D1</v>
      </c>
      <c r="I57" s="76">
        <f t="shared" si="4"/>
        <v>21</v>
      </c>
      <c r="J57" s="76">
        <f>COUNTIF($A$6:A57,"="&amp;A57)</f>
        <v>1</v>
      </c>
      <c r="K57" s="76" t="str">
        <f>EDR1!D87</f>
        <v>CAPO TRENO/CAPO SERVIZI TRENO</v>
      </c>
      <c r="L57" s="76" t="str">
        <f>EDR1!C87</f>
        <v>D1</v>
      </c>
      <c r="M57" s="76" t="str">
        <f>EDR1!E87</f>
        <v>Capo Treno/Capo Servizi Treno (par. 186)</v>
      </c>
      <c r="N57" s="76"/>
      <c r="O57" s="76"/>
      <c r="P57" s="82">
        <f>VLOOKUP(L57&amp;$K$2&amp;K57&amp;$K$2&amp;M57,EDR1!$A$36:$Q$268,16,FALSE)</f>
        <v>25</v>
      </c>
      <c r="Q57" s="82">
        <f>VLOOKUP(L57&amp;$K$2&amp;K57&amp;$K$2&amp;M57,EDR1!$A$36:$Q$268,17,FALSE)</f>
        <v>58</v>
      </c>
      <c r="R57" s="77">
        <f t="shared" si="5"/>
        <v>52</v>
      </c>
      <c r="S57" s="80">
        <f t="shared" si="6"/>
      </c>
      <c r="T57" s="77">
        <f t="shared" si="7"/>
      </c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</row>
    <row r="58" spans="1:33" ht="12.75" hidden="1">
      <c r="A58" s="76" t="str">
        <f t="shared" si="8"/>
        <v>D1-COADIUTORE MEDICO</v>
      </c>
      <c r="B58" s="81" t="str">
        <f t="shared" si="1"/>
        <v>1-D1</v>
      </c>
      <c r="C58" s="81">
        <f>COUNTIF($B$6:B58,"="&amp;B58)</f>
        <v>8</v>
      </c>
      <c r="D58" s="81" t="str">
        <f t="shared" si="2"/>
        <v>8-1-D1</v>
      </c>
      <c r="E58" s="76" t="str">
        <f t="shared" si="9"/>
        <v>COADIUTORE MEDICO-Paramedico (par. 186)</v>
      </c>
      <c r="F58" s="76" t="str">
        <f t="shared" si="3"/>
        <v>COADIUTORE MEDICO-D1-Paramedico (par. 186)</v>
      </c>
      <c r="G58" s="76" t="str">
        <f t="shared" si="10"/>
        <v>1-COADIUTORE MEDICO-D1</v>
      </c>
      <c r="H58" s="76" t="str">
        <f t="shared" si="11"/>
        <v>D1-COADIUTORE MEDICO-8-1-D1</v>
      </c>
      <c r="I58" s="76">
        <f t="shared" si="4"/>
        <v>22</v>
      </c>
      <c r="J58" s="76">
        <f>COUNTIF($A$6:A58,"="&amp;A58)</f>
        <v>1</v>
      </c>
      <c r="K58" s="76" t="str">
        <f>EDR1!D88</f>
        <v>COADIUTORE MEDICO</v>
      </c>
      <c r="L58" s="76" t="str">
        <f>EDR1!C88</f>
        <v>D1</v>
      </c>
      <c r="M58" s="76" t="str">
        <f>EDR1!E88</f>
        <v>Paramedico (par. 186)</v>
      </c>
      <c r="N58" s="76"/>
      <c r="O58" s="76"/>
      <c r="P58" s="82">
        <f>VLOOKUP(L58&amp;$K$2&amp;K58&amp;$K$2&amp;M58,EDR1!$A$36:$Q$268,16,FALSE)</f>
        <v>30</v>
      </c>
      <c r="Q58" s="82">
        <f>VLOOKUP(L58&amp;$K$2&amp;K58&amp;$K$2&amp;M58,EDR1!$A$36:$Q$268,17,FALSE)</f>
        <v>65</v>
      </c>
      <c r="R58" s="77">
        <f t="shared" si="5"/>
        <v>53</v>
      </c>
      <c r="S58" s="80">
        <f t="shared" si="6"/>
      </c>
      <c r="T58" s="77">
        <f t="shared" si="7"/>
      </c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</row>
    <row r="59" spans="1:33" ht="12.75" hidden="1">
      <c r="A59" s="76" t="str">
        <f t="shared" si="8"/>
        <v>D1-MACCHINISTA</v>
      </c>
      <c r="B59" s="81" t="str">
        <f t="shared" si="1"/>
        <v>1-D1</v>
      </c>
      <c r="C59" s="81">
        <f>COUNTIF($B$6:B59,"="&amp;B59)</f>
        <v>9</v>
      </c>
      <c r="D59" s="81" t="str">
        <f t="shared" si="2"/>
        <v>9-1-D1</v>
      </c>
      <c r="E59" s="76" t="str">
        <f t="shared" si="9"/>
        <v>MACCHINISTA-Macchinista (par. 186)</v>
      </c>
      <c r="F59" s="76" t="str">
        <f t="shared" si="3"/>
        <v>MACCHINISTA-D1-Macchinista (par. 186)</v>
      </c>
      <c r="G59" s="76" t="str">
        <f t="shared" si="10"/>
        <v>1-MACCHINISTA-D1</v>
      </c>
      <c r="H59" s="76" t="str">
        <f t="shared" si="11"/>
        <v>D1-MACCHINISTA-9-1-D1</v>
      </c>
      <c r="I59" s="76">
        <f t="shared" si="4"/>
        <v>23</v>
      </c>
      <c r="J59" s="76">
        <f>COUNTIF($A$6:A59,"="&amp;A59)</f>
        <v>1</v>
      </c>
      <c r="K59" s="76" t="str">
        <f>EDR1!D89</f>
        <v>MACCHINISTA</v>
      </c>
      <c r="L59" s="76" t="str">
        <f>EDR1!C89</f>
        <v>D1</v>
      </c>
      <c r="M59" s="76" t="str">
        <f>EDR1!E89</f>
        <v>Macchinista (par. 186)</v>
      </c>
      <c r="N59" s="76"/>
      <c r="O59" s="76"/>
      <c r="P59" s="82">
        <f>VLOOKUP(L59&amp;$K$2&amp;K59&amp;$K$2&amp;M59,EDR1!$A$36:$Q$268,16,FALSE)</f>
        <v>25</v>
      </c>
      <c r="Q59" s="82">
        <f>VLOOKUP(L59&amp;$K$2&amp;K59&amp;$K$2&amp;M59,EDR1!$A$36:$Q$268,17,FALSE)</f>
        <v>58</v>
      </c>
      <c r="R59" s="77">
        <f t="shared" si="5"/>
        <v>54</v>
      </c>
      <c r="S59" s="80">
        <f t="shared" si="6"/>
      </c>
      <c r="T59" s="77">
        <f t="shared" si="7"/>
      </c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</row>
    <row r="60" spans="1:33" ht="12.75" hidden="1">
      <c r="A60" s="76" t="str">
        <f t="shared" si="8"/>
        <v>D1-NOSTROMO </v>
      </c>
      <c r="B60" s="81" t="str">
        <f t="shared" si="1"/>
        <v>1-D1</v>
      </c>
      <c r="C60" s="81">
        <f>COUNTIF($B$6:B60,"="&amp;B60)</f>
        <v>10</v>
      </c>
      <c r="D60" s="81" t="str">
        <f t="shared" si="2"/>
        <v>10-1-D1</v>
      </c>
      <c r="E60" s="76" t="str">
        <f t="shared" si="9"/>
        <v>NOSTROMO -Nostromo  (par. 186)</v>
      </c>
      <c r="F60" s="76" t="str">
        <f t="shared" si="3"/>
        <v>NOSTROMO -D1-Nostromo  (par. 186)</v>
      </c>
      <c r="G60" s="76" t="str">
        <f t="shared" si="10"/>
        <v>1-NOSTROMO -D1</v>
      </c>
      <c r="H60" s="76" t="str">
        <f t="shared" si="11"/>
        <v>D1-NOSTROMO -10-1-D1</v>
      </c>
      <c r="I60" s="76">
        <f t="shared" si="4"/>
        <v>24</v>
      </c>
      <c r="J60" s="76">
        <f>COUNTIF($A$6:A60,"="&amp;A60)</f>
        <v>1</v>
      </c>
      <c r="K60" s="76" t="str">
        <f>EDR1!D90</f>
        <v>NOSTROMO </v>
      </c>
      <c r="L60" s="76" t="str">
        <f>EDR1!C90</f>
        <v>D1</v>
      </c>
      <c r="M60" s="76" t="str">
        <f>EDR1!E90</f>
        <v>Nostromo  (par. 186)</v>
      </c>
      <c r="N60" s="76"/>
      <c r="O60" s="76"/>
      <c r="P60" s="82">
        <f>VLOOKUP(L60&amp;$K$2&amp;K60&amp;$K$2&amp;M60,EDR1!$A$36:$Q$268,16,FALSE)</f>
        <v>25</v>
      </c>
      <c r="Q60" s="82">
        <f>VLOOKUP(L60&amp;$K$2&amp;K60&amp;$K$2&amp;M60,EDR1!$A$36:$Q$268,17,FALSE)</f>
        <v>58</v>
      </c>
      <c r="R60" s="77">
        <f t="shared" si="5"/>
        <v>55</v>
      </c>
      <c r="S60" s="80">
        <f t="shared" si="6"/>
      </c>
      <c r="T60" s="77">
        <f t="shared" si="7"/>
      </c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</row>
    <row r="61" spans="1:33" ht="12.75" hidden="1">
      <c r="A61" s="76" t="str">
        <f t="shared" si="8"/>
        <v>D1-SPECIALISTA TECNICO/AMMINISTRATIVO</v>
      </c>
      <c r="B61" s="81" t="str">
        <f t="shared" si="1"/>
        <v>1-D1</v>
      </c>
      <c r="C61" s="81">
        <f>COUNTIF($B$6:B61,"="&amp;B61)</f>
        <v>11</v>
      </c>
      <c r="D61" s="81" t="str">
        <f t="shared" si="2"/>
        <v>11-1-D1</v>
      </c>
      <c r="E61" s="76" t="str">
        <f t="shared" si="9"/>
        <v>SPECIALISTA TECNICO/AMMINISTRATIVO-Revisore Superiore (par. 186)</v>
      </c>
      <c r="F61" s="76" t="str">
        <f t="shared" si="3"/>
        <v>SPECIALISTA TECNICO/AMMINISTRATIVO-D1-Revisore Superiore (par. 186)</v>
      </c>
      <c r="G61" s="76" t="str">
        <f t="shared" si="10"/>
        <v>1-SPECIALISTA TECNICO/AMMINISTRATIVO-D1</v>
      </c>
      <c r="H61" s="76" t="str">
        <f t="shared" si="11"/>
        <v>D1-SPECIALISTA TECNICO/AMMINISTRATIVO-11-1-D1</v>
      </c>
      <c r="I61" s="76">
        <f t="shared" si="4"/>
        <v>25</v>
      </c>
      <c r="J61" s="76">
        <f>COUNTIF($A$6:A61,"="&amp;A61)</f>
        <v>1</v>
      </c>
      <c r="K61" s="76" t="str">
        <f>EDR1!D91</f>
        <v>SPECIALISTA TECNICO/AMMINISTRATIVO</v>
      </c>
      <c r="L61" s="76" t="str">
        <f>EDR1!C91</f>
        <v>D1</v>
      </c>
      <c r="M61" s="76" t="str">
        <f>EDR1!E91</f>
        <v>Revisore Superiore (par. 186)</v>
      </c>
      <c r="N61" s="76"/>
      <c r="O61" s="76"/>
      <c r="P61" s="82">
        <f>VLOOKUP(L61&amp;$K$2&amp;K61&amp;$K$2&amp;M61,EDR1!$A$36:$Q$268,16,FALSE)</f>
        <v>30</v>
      </c>
      <c r="Q61" s="82">
        <f>VLOOKUP(L61&amp;$K$2&amp;K61&amp;$K$2&amp;M61,EDR1!$A$36:$Q$268,17,FALSE)</f>
        <v>65</v>
      </c>
      <c r="R61" s="77">
        <f t="shared" si="5"/>
        <v>56</v>
      </c>
      <c r="S61" s="80">
        <f t="shared" si="6"/>
      </c>
      <c r="T61" s="77">
        <f t="shared" si="7"/>
      </c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</row>
    <row r="62" spans="1:33" ht="12.75" hidden="1">
      <c r="A62" s="76" t="str">
        <f t="shared" si="8"/>
        <v>D1-SPECIALISTA TECNICO/AMMINISTRATIVO</v>
      </c>
      <c r="B62" s="81" t="str">
        <f t="shared" si="1"/>
        <v>2-D1</v>
      </c>
      <c r="C62" s="81">
        <f>COUNTIF($B$6:B62,"="&amp;B62)</f>
        <v>2</v>
      </c>
      <c r="D62" s="81" t="str">
        <f t="shared" si="2"/>
        <v>2-2-D1</v>
      </c>
      <c r="E62" s="76" t="str">
        <f t="shared" si="9"/>
        <v>SPECIALISTA TECNICO/AMMINISTRATIVO-Segretario Superiore (par. 186)</v>
      </c>
      <c r="F62" s="76" t="str">
        <f t="shared" si="3"/>
        <v>SPECIALISTA TECNICO/AMMINISTRATIVO-D1-Segretario Superiore (par. 186)</v>
      </c>
      <c r="G62" s="76" t="str">
        <f t="shared" si="10"/>
        <v>2-SPECIALISTA TECNICO/AMMINISTRATIVO-D1</v>
      </c>
      <c r="H62" s="76" t="str">
        <f t="shared" si="11"/>
        <v>D1-SPECIALISTA TECNICO/AMMINISTRATIVO-2-2-D1</v>
      </c>
      <c r="I62" s="76">
        <f t="shared" si="4"/>
        <v>25</v>
      </c>
      <c r="J62" s="76">
        <f>COUNTIF($A$6:A62,"="&amp;A62)</f>
        <v>2</v>
      </c>
      <c r="K62" s="76" t="str">
        <f>EDR1!D92</f>
        <v>SPECIALISTA TECNICO/AMMINISTRATIVO</v>
      </c>
      <c r="L62" s="76" t="str">
        <f>EDR1!C92</f>
        <v>D1</v>
      </c>
      <c r="M62" s="76" t="str">
        <f>EDR1!E92</f>
        <v>Segretario Superiore (par. 186)</v>
      </c>
      <c r="N62" s="76"/>
      <c r="O62" s="76"/>
      <c r="P62" s="82">
        <f>VLOOKUP(L62&amp;$K$2&amp;K62&amp;$K$2&amp;M62,EDR1!$A$36:$Q$268,16,FALSE)</f>
        <v>30</v>
      </c>
      <c r="Q62" s="82">
        <f>VLOOKUP(L62&amp;$K$2&amp;K62&amp;$K$2&amp;M62,EDR1!$A$36:$Q$268,17,FALSE)</f>
        <v>65</v>
      </c>
      <c r="R62" s="77">
        <f t="shared" si="5"/>
        <v>57</v>
      </c>
      <c r="S62" s="80">
        <f t="shared" si="6"/>
      </c>
      <c r="T62" s="77">
        <f t="shared" si="7"/>
      </c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1:33" ht="12.75" hidden="1">
      <c r="A63" s="76" t="str">
        <f t="shared" si="8"/>
        <v>D1-SPECIALISTA TECNICO/AMMINISTRATIVO</v>
      </c>
      <c r="B63" s="81" t="str">
        <f t="shared" si="1"/>
        <v>3-D1</v>
      </c>
      <c r="C63" s="81">
        <f>COUNTIF($B$6:B63,"="&amp;B63)</f>
        <v>2</v>
      </c>
      <c r="D63" s="81" t="str">
        <f t="shared" si="2"/>
        <v>2-3-D1</v>
      </c>
      <c r="E63" s="76" t="str">
        <f t="shared" si="9"/>
        <v>SPECIALISTA TECNICO/AMMINISTRATIVO-Segretario Superiore d'Informatica (par. 186)</v>
      </c>
      <c r="F63" s="76" t="str">
        <f t="shared" si="3"/>
        <v>SPECIALISTA TECNICO/AMMINISTRATIVO-D1-Segretario Superiore d'Informatica (par. 186)</v>
      </c>
      <c r="G63" s="76" t="str">
        <f t="shared" si="10"/>
        <v>3-SPECIALISTA TECNICO/AMMINISTRATIVO-D1</v>
      </c>
      <c r="H63" s="76" t="str">
        <f t="shared" si="11"/>
        <v>D1-SPECIALISTA TECNICO/AMMINISTRATIVO-2-3-D1</v>
      </c>
      <c r="I63" s="76">
        <f t="shared" si="4"/>
        <v>25</v>
      </c>
      <c r="J63" s="76">
        <f>COUNTIF($A$6:A63,"="&amp;A63)</f>
        <v>3</v>
      </c>
      <c r="K63" s="76" t="str">
        <f>EDR1!D93</f>
        <v>SPECIALISTA TECNICO/AMMINISTRATIVO</v>
      </c>
      <c r="L63" s="76" t="str">
        <f>EDR1!C93</f>
        <v>D1</v>
      </c>
      <c r="M63" s="76" t="str">
        <f>EDR1!E93</f>
        <v>Segretario Superiore d'Informatica (par. 186)</v>
      </c>
      <c r="N63" s="76"/>
      <c r="O63" s="76"/>
      <c r="P63" s="82">
        <f>VLOOKUP(L63&amp;$K$2&amp;K63&amp;$K$2&amp;M63,EDR1!$A$36:$Q$268,16,FALSE)</f>
        <v>30</v>
      </c>
      <c r="Q63" s="82">
        <f>VLOOKUP(L63&amp;$K$2&amp;K63&amp;$K$2&amp;M63,EDR1!$A$36:$Q$268,17,FALSE)</f>
        <v>65</v>
      </c>
      <c r="R63" s="77">
        <f t="shared" si="5"/>
        <v>58</v>
      </c>
      <c r="S63" s="80">
        <f t="shared" si="6"/>
      </c>
      <c r="T63" s="77">
        <f t="shared" si="7"/>
      </c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3" ht="12.75" hidden="1">
      <c r="A64" s="76" t="str">
        <f t="shared" si="8"/>
        <v>D1-SPECIALISTA TECNICO/AMMINISTRATIVO</v>
      </c>
      <c r="B64" s="81" t="str">
        <f t="shared" si="1"/>
        <v>4-D1</v>
      </c>
      <c r="C64" s="81">
        <f>COUNTIF($B$6:B64,"="&amp;B64)</f>
        <v>2</v>
      </c>
      <c r="D64" s="81" t="str">
        <f t="shared" si="2"/>
        <v>2-4-D1</v>
      </c>
      <c r="E64" s="76" t="str">
        <f t="shared" si="9"/>
        <v>SPECIALISTA TECNICO/AMMINISTRATIVO-Segretario Tecnico Superiore (par. 186)</v>
      </c>
      <c r="F64" s="76" t="str">
        <f t="shared" si="3"/>
        <v>SPECIALISTA TECNICO/AMMINISTRATIVO-D1-Segretario Tecnico Superiore (par. 186)</v>
      </c>
      <c r="G64" s="76" t="str">
        <f t="shared" si="10"/>
        <v>4-SPECIALISTA TECNICO/AMMINISTRATIVO-D1</v>
      </c>
      <c r="H64" s="76" t="str">
        <f t="shared" si="11"/>
        <v>D1-SPECIALISTA TECNICO/AMMINISTRATIVO-2-4-D1</v>
      </c>
      <c r="I64" s="76">
        <f t="shared" si="4"/>
        <v>25</v>
      </c>
      <c r="J64" s="76">
        <f>COUNTIF($A$6:A64,"="&amp;A64)</f>
        <v>4</v>
      </c>
      <c r="K64" s="76" t="str">
        <f>EDR1!D94</f>
        <v>SPECIALISTA TECNICO/AMMINISTRATIVO</v>
      </c>
      <c r="L64" s="76" t="str">
        <f>EDR1!C94</f>
        <v>D1</v>
      </c>
      <c r="M64" s="76" t="str">
        <f>EDR1!E94</f>
        <v>Segretario Tecnico Superiore (par. 186)</v>
      </c>
      <c r="N64" s="76"/>
      <c r="O64" s="76"/>
      <c r="P64" s="82">
        <f>VLOOKUP(L64&amp;$K$2&amp;K64&amp;$K$2&amp;M64,EDR1!$A$36:$Q$268,16,FALSE)</f>
        <v>30</v>
      </c>
      <c r="Q64" s="82">
        <f>VLOOKUP(L64&amp;$K$2&amp;K64&amp;$K$2&amp;M64,EDR1!$A$36:$Q$268,17,FALSE)</f>
        <v>65</v>
      </c>
      <c r="R64" s="77">
        <f t="shared" si="5"/>
        <v>59</v>
      </c>
      <c r="S64" s="80">
        <f t="shared" si="6"/>
      </c>
      <c r="T64" s="77">
        <f t="shared" si="7"/>
      </c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:33" ht="12.75" hidden="1">
      <c r="A65" s="76" t="str">
        <f t="shared" si="8"/>
        <v>D1-SPECIALISTA TECNICO/AMMINISTRATIVO</v>
      </c>
      <c r="B65" s="81" t="str">
        <f t="shared" si="1"/>
        <v>5-D1</v>
      </c>
      <c r="C65" s="81">
        <f>COUNTIF($B$6:B65,"="&amp;B65)</f>
        <v>2</v>
      </c>
      <c r="D65" s="81" t="str">
        <f t="shared" si="2"/>
        <v>2-5-D1</v>
      </c>
      <c r="E65" s="76" t="str">
        <f t="shared" si="9"/>
        <v>SPECIALISTA TECNICO/AMMINISTRATIVO-Ex profilo non previsto</v>
      </c>
      <c r="F65" s="76" t="str">
        <f t="shared" si="3"/>
        <v>SPECIALISTA TECNICO/AMMINISTRATIVO-D1-Ex profilo non previsto</v>
      </c>
      <c r="G65" s="76" t="str">
        <f t="shared" si="10"/>
        <v>5-SPECIALISTA TECNICO/AMMINISTRATIVO-D1</v>
      </c>
      <c r="H65" s="76" t="str">
        <f t="shared" si="11"/>
        <v>D1-SPECIALISTA TECNICO/AMMINISTRATIVO-2-5-D1</v>
      </c>
      <c r="I65" s="76">
        <f t="shared" si="4"/>
        <v>25</v>
      </c>
      <c r="J65" s="76">
        <f>COUNTIF($A$6:A65,"="&amp;A65)</f>
        <v>5</v>
      </c>
      <c r="K65" s="76" t="str">
        <f>EDR1!D95</f>
        <v>SPECIALISTA TECNICO/AMMINISTRATIVO</v>
      </c>
      <c r="L65" s="76" t="str">
        <f>EDR1!C95</f>
        <v>D1</v>
      </c>
      <c r="M65" s="76" t="str">
        <f>EDR1!E95</f>
        <v>Ex profilo non previsto</v>
      </c>
      <c r="N65" s="76"/>
      <c r="O65" s="76"/>
      <c r="P65" s="82">
        <f>VLOOKUP(L65&amp;$K$2&amp;K65&amp;$K$2&amp;M65,EDR1!$A$36:$Q$268,16,FALSE)</f>
        <v>30</v>
      </c>
      <c r="Q65" s="82">
        <f>VLOOKUP(L65&amp;$K$2&amp;K65&amp;$K$2&amp;M65,EDR1!$A$36:$Q$268,17,FALSE)</f>
        <v>65</v>
      </c>
      <c r="R65" s="77">
        <f t="shared" si="5"/>
        <v>60</v>
      </c>
      <c r="S65" s="80">
        <f t="shared" si="6"/>
      </c>
      <c r="T65" s="77">
        <f t="shared" si="7"/>
      </c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1:33" ht="12.75" hidden="1">
      <c r="A66" s="76" t="str">
        <f t="shared" si="8"/>
        <v>D1- SPECIALISTA TECNICO COMMERCIALE</v>
      </c>
      <c r="B66" s="81" t="str">
        <f t="shared" si="1"/>
        <v>1-D1</v>
      </c>
      <c r="C66" s="81">
        <f>COUNTIF($B$6:B66,"="&amp;B66)</f>
        <v>12</v>
      </c>
      <c r="D66" s="81" t="str">
        <f t="shared" si="2"/>
        <v>12-1-D1</v>
      </c>
      <c r="E66" s="76" t="str">
        <f t="shared" si="9"/>
        <v> SPECIALISTA TECNICO COMMERCIALE-Capo Gestione Superiore (par. 186)</v>
      </c>
      <c r="F66" s="76" t="str">
        <f t="shared" si="3"/>
        <v> SPECIALISTA TECNICO COMMERCIALE-D1-Capo Gestione Superiore (par. 186)</v>
      </c>
      <c r="G66" s="76" t="str">
        <f t="shared" si="10"/>
        <v>1- SPECIALISTA TECNICO COMMERCIALE-D1</v>
      </c>
      <c r="H66" s="76" t="str">
        <f t="shared" si="11"/>
        <v>D1- SPECIALISTA TECNICO COMMERCIALE-12-1-D1</v>
      </c>
      <c r="I66" s="76">
        <f t="shared" si="4"/>
        <v>26</v>
      </c>
      <c r="J66" s="76">
        <f>COUNTIF($A$6:A66,"="&amp;A66)</f>
        <v>1</v>
      </c>
      <c r="K66" s="76" t="str">
        <f>EDR1!D96</f>
        <v> SPECIALISTA TECNICO COMMERCIALE</v>
      </c>
      <c r="L66" s="76" t="str">
        <f>EDR1!C96</f>
        <v>D1</v>
      </c>
      <c r="M66" s="76" t="str">
        <f>EDR1!E96</f>
        <v>Capo Gestione Superiore (par. 186)</v>
      </c>
      <c r="N66" s="76"/>
      <c r="O66" s="76"/>
      <c r="P66" s="82">
        <f>VLOOKUP(L66&amp;$K$2&amp;K66&amp;$K$2&amp;M66,EDR1!$A$36:$Q$268,16,FALSE)</f>
        <v>30</v>
      </c>
      <c r="Q66" s="82">
        <f>VLOOKUP(L66&amp;$K$2&amp;K66&amp;$K$2&amp;M66,EDR1!$A$36:$Q$268,17,FALSE)</f>
        <v>65</v>
      </c>
      <c r="R66" s="77">
        <f t="shared" si="5"/>
        <v>61</v>
      </c>
      <c r="S66" s="80">
        <f t="shared" si="6"/>
      </c>
      <c r="T66" s="77">
        <f t="shared" si="7"/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</row>
    <row r="67" spans="1:33" ht="12.75" hidden="1">
      <c r="A67" s="76" t="str">
        <f t="shared" si="8"/>
        <v>D1- SPECIALISTA TECNICO COMMERCIALE</v>
      </c>
      <c r="B67" s="81" t="str">
        <f t="shared" si="1"/>
        <v>2-D1</v>
      </c>
      <c r="C67" s="81">
        <f>COUNTIF($B$6:B67,"="&amp;B67)</f>
        <v>3</v>
      </c>
      <c r="D67" s="81" t="str">
        <f t="shared" si="2"/>
        <v>3-2-D1</v>
      </c>
      <c r="E67" s="76" t="str">
        <f t="shared" si="9"/>
        <v> SPECIALISTA TECNICO COMMERCIALE-Ex profilo non previsto</v>
      </c>
      <c r="F67" s="76" t="str">
        <f t="shared" si="3"/>
        <v> SPECIALISTA TECNICO COMMERCIALE-D1-Ex profilo non previsto</v>
      </c>
      <c r="G67" s="76" t="str">
        <f t="shared" si="10"/>
        <v>2- SPECIALISTA TECNICO COMMERCIALE-D1</v>
      </c>
      <c r="H67" s="76" t="str">
        <f t="shared" si="11"/>
        <v>D1- SPECIALISTA TECNICO COMMERCIALE-3-2-D1</v>
      </c>
      <c r="I67" s="76">
        <f t="shared" si="4"/>
        <v>26</v>
      </c>
      <c r="J67" s="76">
        <f>COUNTIF($A$6:A67,"="&amp;A67)</f>
        <v>2</v>
      </c>
      <c r="K67" s="76" t="str">
        <f>EDR1!D97</f>
        <v> SPECIALISTA TECNICO COMMERCIALE</v>
      </c>
      <c r="L67" s="76" t="str">
        <f>EDR1!C97</f>
        <v>D1</v>
      </c>
      <c r="M67" s="76" t="str">
        <f>EDR1!E97</f>
        <v>Ex profilo non previsto</v>
      </c>
      <c r="N67" s="76"/>
      <c r="O67" s="76"/>
      <c r="P67" s="82">
        <f>VLOOKUP(L67&amp;$K$2&amp;K67&amp;$K$2&amp;M67,EDR1!$A$36:$Q$268,16,FALSE)</f>
        <v>30</v>
      </c>
      <c r="Q67" s="82">
        <f>VLOOKUP(L67&amp;$K$2&amp;K67&amp;$K$2&amp;M67,EDR1!$A$36:$Q$268,17,FALSE)</f>
        <v>65</v>
      </c>
      <c r="R67" s="77">
        <f t="shared" si="5"/>
        <v>62</v>
      </c>
      <c r="S67" s="80">
        <f t="shared" si="6"/>
      </c>
      <c r="T67" s="77">
        <f t="shared" si="7"/>
      </c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</row>
    <row r="68" spans="1:33" ht="12.75" hidden="1">
      <c r="A68" s="76" t="str">
        <f t="shared" si="8"/>
        <v>D1-TECNICO SANITARIO</v>
      </c>
      <c r="B68" s="81" t="str">
        <f t="shared" si="1"/>
        <v>1-D1</v>
      </c>
      <c r="C68" s="81">
        <f>COUNTIF($B$6:B68,"="&amp;B68)</f>
        <v>13</v>
      </c>
      <c r="D68" s="81" t="str">
        <f t="shared" si="2"/>
        <v>13-1-D1</v>
      </c>
      <c r="E68" s="76" t="str">
        <f t="shared" si="9"/>
        <v>TECNICO SANITARIO-Tecnico Sanitario (par. 186)</v>
      </c>
      <c r="F68" s="76" t="str">
        <f t="shared" si="3"/>
        <v>TECNICO SANITARIO-D1-Tecnico Sanitario (par. 186)</v>
      </c>
      <c r="G68" s="76" t="str">
        <f t="shared" si="10"/>
        <v>1-TECNICO SANITARIO-D1</v>
      </c>
      <c r="H68" s="76" t="str">
        <f t="shared" si="11"/>
        <v>D1-TECNICO SANITARIO-13-1-D1</v>
      </c>
      <c r="I68" s="76">
        <f t="shared" si="4"/>
        <v>27</v>
      </c>
      <c r="J68" s="76">
        <f>COUNTIF($A$6:A68,"="&amp;A68)</f>
        <v>1</v>
      </c>
      <c r="K68" s="76" t="str">
        <f>EDR1!D98</f>
        <v>TECNICO SANITARIO</v>
      </c>
      <c r="L68" s="76" t="str">
        <f>EDR1!C98</f>
        <v>D1</v>
      </c>
      <c r="M68" s="76" t="str">
        <f>EDR1!E98</f>
        <v>Tecnico Sanitario (par. 186)</v>
      </c>
      <c r="N68" s="76"/>
      <c r="O68" s="76"/>
      <c r="P68" s="82">
        <f>VLOOKUP(L68&amp;$K$2&amp;K68&amp;$K$2&amp;M68,EDR1!$A$36:$Q$268,16,FALSE)</f>
        <v>30</v>
      </c>
      <c r="Q68" s="82">
        <f>VLOOKUP(L68&amp;$K$2&amp;K68&amp;$K$2&amp;M68,EDR1!$A$36:$Q$268,17,FALSE)</f>
        <v>65</v>
      </c>
      <c r="R68" s="77">
        <f t="shared" si="5"/>
        <v>63</v>
      </c>
      <c r="S68" s="80">
        <f t="shared" si="6"/>
      </c>
      <c r="T68" s="77">
        <f t="shared" si="7"/>
      </c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</row>
    <row r="69" spans="1:33" ht="12.75" hidden="1">
      <c r="A69" s="76" t="str">
        <f t="shared" si="8"/>
        <v>D1-UFFICIALE</v>
      </c>
      <c r="B69" s="81" t="str">
        <f t="shared" si="1"/>
        <v>1-D1</v>
      </c>
      <c r="C69" s="81">
        <f>COUNTIF($B$6:B69,"="&amp;B69)</f>
        <v>14</v>
      </c>
      <c r="D69" s="81" t="str">
        <f t="shared" si="2"/>
        <v>14-1-D1</v>
      </c>
      <c r="E69" s="76" t="str">
        <f t="shared" si="9"/>
        <v>UFFICIALE-Ufficiale</v>
      </c>
      <c r="F69" s="76" t="str">
        <f t="shared" si="3"/>
        <v>UFFICIALE-D1-Ufficiale</v>
      </c>
      <c r="G69" s="76" t="str">
        <f t="shared" si="10"/>
        <v>1-UFFICIALE-D1</v>
      </c>
      <c r="H69" s="76" t="str">
        <f t="shared" si="11"/>
        <v>D1-UFFICIALE-14-1-D1</v>
      </c>
      <c r="I69" s="76">
        <f t="shared" si="4"/>
        <v>28</v>
      </c>
      <c r="J69" s="76">
        <f>COUNTIF($A$6:A69,"="&amp;A69)</f>
        <v>1</v>
      </c>
      <c r="K69" s="76" t="str">
        <f>EDR1!D99</f>
        <v>UFFICIALE</v>
      </c>
      <c r="L69" s="76" t="str">
        <f>EDR1!C99</f>
        <v>D1</v>
      </c>
      <c r="M69" s="76" t="str">
        <f>EDR1!E99</f>
        <v>Ufficiale</v>
      </c>
      <c r="N69" s="76"/>
      <c r="O69" s="76"/>
      <c r="P69" s="82">
        <f>VLOOKUP(L69&amp;$K$2&amp;K69&amp;$K$2&amp;M69,EDR1!$A$36:$Q$268,16,FALSE)</f>
        <v>25</v>
      </c>
      <c r="Q69" s="82">
        <f>VLOOKUP(L69&amp;$K$2&amp;K69&amp;$K$2&amp;M69,EDR1!$A$36:$Q$268,17,FALSE)</f>
        <v>60</v>
      </c>
      <c r="R69" s="77">
        <f t="shared" si="5"/>
        <v>64</v>
      </c>
      <c r="S69" s="80">
        <f t="shared" si="6"/>
      </c>
      <c r="T69" s="77">
        <f t="shared" si="7"/>
      </c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  <row r="70" spans="1:33" ht="12.75" hidden="1">
      <c r="A70" s="76" t="str">
        <f t="shared" si="8"/>
        <v>D1-UFFICIALE DI MACCHINA</v>
      </c>
      <c r="B70" s="81" t="str">
        <f aca="true" t="shared" si="14" ref="B70:B133">J70&amp;$K$2&amp;L70</f>
        <v>1-D1</v>
      </c>
      <c r="C70" s="81">
        <f>COUNTIF($B$6:B70,"="&amp;B70)</f>
        <v>15</v>
      </c>
      <c r="D70" s="81" t="str">
        <f aca="true" t="shared" si="15" ref="D70:D133">C70&amp;$K$2&amp;J70&amp;$K$2&amp;L70</f>
        <v>15-1-D1</v>
      </c>
      <c r="E70" s="76" t="str">
        <f t="shared" si="9"/>
        <v>UFFICIALE DI MACCHINA-Ufficiale di Macchina</v>
      </c>
      <c r="F70" s="76" t="str">
        <f aca="true" t="shared" si="16" ref="F70:F133">K70&amp;$K$2&amp;L70&amp;$K$2&amp;M70</f>
        <v>UFFICIALE DI MACCHINA-D1-Ufficiale di Macchina</v>
      </c>
      <c r="G70" s="76" t="str">
        <f t="shared" si="10"/>
        <v>1-UFFICIALE DI MACCHINA-D1</v>
      </c>
      <c r="H70" s="76" t="str">
        <f t="shared" si="11"/>
        <v>D1-UFFICIALE DI MACCHINA-15-1-D1</v>
      </c>
      <c r="I70" s="76">
        <f aca="true" t="shared" si="17" ref="I70:I133">IF(K69&lt;&gt;K70,I69+1,I69)</f>
        <v>29</v>
      </c>
      <c r="J70" s="76">
        <f>COUNTIF($A$6:A70,"="&amp;A70)</f>
        <v>1</v>
      </c>
      <c r="K70" s="76" t="str">
        <f>EDR1!D100</f>
        <v>UFFICIALE DI MACCHINA</v>
      </c>
      <c r="L70" s="76" t="str">
        <f>EDR1!C100</f>
        <v>D1</v>
      </c>
      <c r="M70" s="76" t="str">
        <f>EDR1!E100</f>
        <v>Ufficiale di Macchina</v>
      </c>
      <c r="N70" s="76"/>
      <c r="O70" s="76"/>
      <c r="P70" s="82">
        <f>VLOOKUP(L70&amp;$K$2&amp;K70&amp;$K$2&amp;M70,EDR1!$A$36:$Q$268,16,FALSE)</f>
        <v>25</v>
      </c>
      <c r="Q70" s="82">
        <f>VLOOKUP(L70&amp;$K$2&amp;K70&amp;$K$2&amp;M70,EDR1!$A$36:$Q$268,17,FALSE)</f>
        <v>60</v>
      </c>
      <c r="R70" s="77">
        <f aca="true" t="shared" si="18" ref="R70:R133">R69+1</f>
        <v>65</v>
      </c>
      <c r="S70" s="80">
        <f aca="true" t="shared" si="19" ref="S70:S133">IF(ISNA(VLOOKUP((R69+1)&amp;$K$2&amp;$S$5&amp;$K$2&amp;$E$3,$D$6:$K$237,8,FALSE)),"",VLOOKUP((R69+1)&amp;$K$2&amp;$S$5&amp;$K$2&amp;$E$3,$D$6:$K$237,8,FALSE))</f>
      </c>
      <c r="T70" s="77">
        <f aca="true" t="shared" si="20" ref="T70:T133">IF(S70&lt;&gt;"",VLOOKUP(S70,$K$6:$M$238,2,FALSE),"")</f>
      </c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</row>
    <row r="71" spans="1:33" ht="12.75" hidden="1">
      <c r="A71" s="76" t="str">
        <f aca="true" t="shared" si="21" ref="A71:A134">L71&amp;$K$2&amp;K71</f>
        <v>D1-UFFICIALE NAVALE</v>
      </c>
      <c r="B71" s="81" t="str">
        <f t="shared" si="14"/>
        <v>1-D1</v>
      </c>
      <c r="C71" s="81">
        <f>COUNTIF($B$6:B71,"="&amp;B71)</f>
        <v>16</v>
      </c>
      <c r="D71" s="81" t="str">
        <f t="shared" si="15"/>
        <v>16-1-D1</v>
      </c>
      <c r="E71" s="76" t="str">
        <f aca="true" t="shared" si="22" ref="E71:E134">K71&amp;$K$2&amp;M71</f>
        <v>UFFICIALE NAVALE-Ufficiale Navale</v>
      </c>
      <c r="F71" s="76" t="str">
        <f t="shared" si="16"/>
        <v>UFFICIALE NAVALE-D1-Ufficiale Navale</v>
      </c>
      <c r="G71" s="76" t="str">
        <f aca="true" t="shared" si="23" ref="G71:G134">J71&amp;$K$2&amp;K71&amp;$K$2&amp;L71</f>
        <v>1-UFFICIALE NAVALE-D1</v>
      </c>
      <c r="H71" s="76" t="str">
        <f aca="true" t="shared" si="24" ref="H71:H134">A71&amp;$K$2&amp;D71</f>
        <v>D1-UFFICIALE NAVALE-16-1-D1</v>
      </c>
      <c r="I71" s="76">
        <f t="shared" si="17"/>
        <v>30</v>
      </c>
      <c r="J71" s="76">
        <f>COUNTIF($A$6:A71,"="&amp;A71)</f>
        <v>1</v>
      </c>
      <c r="K71" s="76" t="str">
        <f>EDR1!D101</f>
        <v>UFFICIALE NAVALE</v>
      </c>
      <c r="L71" s="76" t="str">
        <f>EDR1!C101</f>
        <v>D1</v>
      </c>
      <c r="M71" s="76" t="str">
        <f>EDR1!E101</f>
        <v>Ufficiale Navale</v>
      </c>
      <c r="N71" s="76"/>
      <c r="O71" s="76"/>
      <c r="P71" s="82">
        <f>VLOOKUP(L71&amp;$K$2&amp;K71&amp;$K$2&amp;M71,EDR1!$A$36:$Q$268,16,FALSE)</f>
        <v>25</v>
      </c>
      <c r="Q71" s="82">
        <f>VLOOKUP(L71&amp;$K$2&amp;K71&amp;$K$2&amp;M71,EDR1!$A$36:$Q$268,17,FALSE)</f>
        <v>60</v>
      </c>
      <c r="R71" s="77">
        <f t="shared" si="18"/>
        <v>66</v>
      </c>
      <c r="S71" s="80">
        <f t="shared" si="19"/>
      </c>
      <c r="T71" s="77">
        <f t="shared" si="20"/>
      </c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</row>
    <row r="72" spans="1:33" ht="12.75" hidden="1">
      <c r="A72" s="76" t="str">
        <f t="shared" si="21"/>
        <v>D1-EX ISPETTORE</v>
      </c>
      <c r="B72" s="81" t="str">
        <f t="shared" si="14"/>
        <v>1-D1</v>
      </c>
      <c r="C72" s="81">
        <f>COUNTIF($B$6:B72,"="&amp;B72)</f>
        <v>17</v>
      </c>
      <c r="D72" s="81" t="str">
        <f t="shared" si="15"/>
        <v>17-1-D1</v>
      </c>
      <c r="E72" s="76" t="str">
        <f t="shared" si="22"/>
        <v>EX ISPETTORE-Ispettore (par. 156)</v>
      </c>
      <c r="F72" s="76" t="str">
        <f t="shared" si="16"/>
        <v>EX ISPETTORE-D1-Ispettore (par. 156)</v>
      </c>
      <c r="G72" s="76" t="str">
        <f t="shared" si="23"/>
        <v>1-EX ISPETTORE-D1</v>
      </c>
      <c r="H72" s="76" t="str">
        <f t="shared" si="24"/>
        <v>D1-EX ISPETTORE-17-1-D1</v>
      </c>
      <c r="I72" s="76">
        <f t="shared" si="17"/>
        <v>31</v>
      </c>
      <c r="J72" s="76">
        <f>COUNTIF($A$6:A72,"="&amp;A72)</f>
        <v>1</v>
      </c>
      <c r="K72" s="76" t="str">
        <f>EDR1!D102</f>
        <v>EX ISPETTORE</v>
      </c>
      <c r="L72" s="76" t="str">
        <f>EDR1!C102</f>
        <v>D1</v>
      </c>
      <c r="M72" s="76" t="str">
        <f>EDR1!E102</f>
        <v>Ispettore (par. 156)</v>
      </c>
      <c r="N72" s="76"/>
      <c r="O72" s="76"/>
      <c r="P72" s="82">
        <f>VLOOKUP(L72&amp;$K$2&amp;K72&amp;$K$2&amp;M72,EDR1!$A$36:$Q$268,16,FALSE)</f>
        <v>30</v>
      </c>
      <c r="Q72" s="82">
        <f>VLOOKUP(L72&amp;$K$2&amp;K72&amp;$K$2&amp;M72,EDR1!$A$36:$Q$268,17,FALSE)</f>
        <v>65</v>
      </c>
      <c r="R72" s="77">
        <f t="shared" si="18"/>
        <v>67</v>
      </c>
      <c r="S72" s="80">
        <f t="shared" si="19"/>
      </c>
      <c r="T72" s="77">
        <f t="shared" si="20"/>
      </c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</row>
    <row r="73" spans="1:33" ht="12.75" hidden="1">
      <c r="A73" s="76" t="str">
        <f t="shared" si="21"/>
        <v>D1-EX ISPETTORE</v>
      </c>
      <c r="B73" s="81" t="str">
        <f t="shared" si="14"/>
        <v>2-D1</v>
      </c>
      <c r="C73" s="81">
        <f>COUNTIF($B$6:B73,"="&amp;B73)</f>
        <v>4</v>
      </c>
      <c r="D73" s="81" t="str">
        <f t="shared" si="15"/>
        <v>4-2-D1</v>
      </c>
      <c r="E73" s="76" t="str">
        <f t="shared" si="22"/>
        <v>EX ISPETTORE-Ispettore (par. 167)</v>
      </c>
      <c r="F73" s="76" t="str">
        <f t="shared" si="16"/>
        <v>EX ISPETTORE-D1-Ispettore (par. 167)</v>
      </c>
      <c r="G73" s="76" t="str">
        <f t="shared" si="23"/>
        <v>2-EX ISPETTORE-D1</v>
      </c>
      <c r="H73" s="76" t="str">
        <f t="shared" si="24"/>
        <v>D1-EX ISPETTORE-4-2-D1</v>
      </c>
      <c r="I73" s="76">
        <f t="shared" si="17"/>
        <v>31</v>
      </c>
      <c r="J73" s="76">
        <f>COUNTIF($A$6:A73,"="&amp;A73)</f>
        <v>2</v>
      </c>
      <c r="K73" s="76" t="str">
        <f>EDR1!D103</f>
        <v>EX ISPETTORE</v>
      </c>
      <c r="L73" s="76" t="str">
        <f>EDR1!C103</f>
        <v>D1</v>
      </c>
      <c r="M73" s="76" t="str">
        <f>EDR1!E103</f>
        <v>Ispettore (par. 167)</v>
      </c>
      <c r="N73" s="76"/>
      <c r="O73" s="76"/>
      <c r="P73" s="82">
        <f>VLOOKUP(L73&amp;$K$2&amp;K73&amp;$K$2&amp;M73,EDR1!$A$36:$Q$268,16,FALSE)</f>
        <v>30</v>
      </c>
      <c r="Q73" s="82">
        <f>VLOOKUP(L73&amp;$K$2&amp;K73&amp;$K$2&amp;M73,EDR1!$A$36:$Q$268,17,FALSE)</f>
        <v>65</v>
      </c>
      <c r="R73" s="77">
        <f t="shared" si="18"/>
        <v>68</v>
      </c>
      <c r="S73" s="80">
        <f t="shared" si="19"/>
      </c>
      <c r="T73" s="77">
        <f t="shared" si="20"/>
      </c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</row>
    <row r="74" spans="1:33" ht="12.75" hidden="1">
      <c r="A74" s="76" t="str">
        <f t="shared" si="21"/>
        <v>D2-ANALISTA CONTABILE</v>
      </c>
      <c r="B74" s="81" t="str">
        <f t="shared" si="14"/>
        <v>1-D2</v>
      </c>
      <c r="C74" s="81">
        <f>COUNTIF($B$6:B74,"="&amp;B74)</f>
        <v>1</v>
      </c>
      <c r="D74" s="81" t="str">
        <f t="shared" si="15"/>
        <v>1-1-D2</v>
      </c>
      <c r="E74" s="76" t="str">
        <f t="shared" si="22"/>
        <v>ANALISTA CONTABILE-Ex profilo non previsto</v>
      </c>
      <c r="F74" s="76" t="str">
        <f t="shared" si="16"/>
        <v>ANALISTA CONTABILE-D2-Ex profilo non previsto</v>
      </c>
      <c r="G74" s="76" t="str">
        <f t="shared" si="23"/>
        <v>1-ANALISTA CONTABILE-D2</v>
      </c>
      <c r="H74" s="76" t="str">
        <f t="shared" si="24"/>
        <v>D2-ANALISTA CONTABILE-1-1-D2</v>
      </c>
      <c r="I74" s="76">
        <f t="shared" si="17"/>
        <v>32</v>
      </c>
      <c r="J74" s="76">
        <f>COUNTIF($A$6:A74,"="&amp;A74)</f>
        <v>1</v>
      </c>
      <c r="K74" s="76" t="str">
        <f>EDR1!D104</f>
        <v>ANALISTA CONTABILE</v>
      </c>
      <c r="L74" s="76" t="str">
        <f>EDR1!C104</f>
        <v>D2</v>
      </c>
      <c r="M74" s="76" t="str">
        <f>EDR1!E104</f>
        <v>Ex profilo non previsto</v>
      </c>
      <c r="N74" s="76"/>
      <c r="O74" s="76"/>
      <c r="P74" s="82">
        <f>VLOOKUP(L74&amp;$K$2&amp;K74&amp;$K$2&amp;M74,EDR1!$A$36:$Q$268,16,FALSE)</f>
        <v>30</v>
      </c>
      <c r="Q74" s="82">
        <f>VLOOKUP(L74&amp;$K$2&amp;K74&amp;$K$2&amp;M74,EDR1!$A$36:$Q$268,17,FALSE)</f>
        <v>65</v>
      </c>
      <c r="R74" s="77">
        <f t="shared" si="18"/>
        <v>69</v>
      </c>
      <c r="S74" s="80">
        <f t="shared" si="19"/>
      </c>
      <c r="T74" s="77">
        <f t="shared" si="20"/>
      </c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</row>
    <row r="75" spans="1:33" ht="12.75" hidden="1">
      <c r="A75" s="76" t="str">
        <f t="shared" si="21"/>
        <v>D2-ANALISTA PROGRAMMATORE</v>
      </c>
      <c r="B75" s="81" t="str">
        <f t="shared" si="14"/>
        <v>1-D2</v>
      </c>
      <c r="C75" s="81">
        <f>COUNTIF($B$6:B75,"="&amp;B75)</f>
        <v>2</v>
      </c>
      <c r="D75" s="81" t="str">
        <f t="shared" si="15"/>
        <v>2-1-D2</v>
      </c>
      <c r="E75" s="76" t="str">
        <f t="shared" si="22"/>
        <v>ANALISTA PROGRAMMATORE-Ex profilo non previsto</v>
      </c>
      <c r="F75" s="76" t="str">
        <f t="shared" si="16"/>
        <v>ANALISTA PROGRAMMATORE-D2-Ex profilo non previsto</v>
      </c>
      <c r="G75" s="76" t="str">
        <f t="shared" si="23"/>
        <v>1-ANALISTA PROGRAMMATORE-D2</v>
      </c>
      <c r="H75" s="76" t="str">
        <f t="shared" si="24"/>
        <v>D2-ANALISTA PROGRAMMATORE-2-1-D2</v>
      </c>
      <c r="I75" s="76">
        <f t="shared" si="17"/>
        <v>33</v>
      </c>
      <c r="J75" s="76">
        <f>COUNTIF($A$6:A75,"="&amp;A75)</f>
        <v>1</v>
      </c>
      <c r="K75" s="76" t="str">
        <f>EDR1!D105</f>
        <v>ANALISTA PROGRAMMATORE</v>
      </c>
      <c r="L75" s="76" t="str">
        <f>EDR1!C105</f>
        <v>D2</v>
      </c>
      <c r="M75" s="76" t="str">
        <f>EDR1!E105</f>
        <v>Ex profilo non previsto</v>
      </c>
      <c r="N75" s="76"/>
      <c r="O75" s="76"/>
      <c r="P75" s="82">
        <f>VLOOKUP(L75&amp;$K$2&amp;K75&amp;$K$2&amp;M75,EDR1!$A$36:$Q$268,16,FALSE)</f>
        <v>30</v>
      </c>
      <c r="Q75" s="82">
        <f>VLOOKUP(L75&amp;$K$2&amp;K75&amp;$K$2&amp;M75,EDR1!$A$36:$Q$268,17,FALSE)</f>
        <v>65</v>
      </c>
      <c r="R75" s="77">
        <f t="shared" si="18"/>
        <v>70</v>
      </c>
      <c r="S75" s="80">
        <f t="shared" si="19"/>
      </c>
      <c r="T75" s="77">
        <f t="shared" si="20"/>
      </c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</row>
    <row r="76" spans="1:33" ht="12.75" hidden="1">
      <c r="A76" s="76" t="str">
        <f t="shared" si="21"/>
        <v>D2-CAPO ELETTRICISTA</v>
      </c>
      <c r="B76" s="81" t="str">
        <f t="shared" si="14"/>
        <v>1-D2</v>
      </c>
      <c r="C76" s="81">
        <f>COUNTIF($B$6:B76,"="&amp;B76)</f>
        <v>3</v>
      </c>
      <c r="D76" s="81" t="str">
        <f t="shared" si="15"/>
        <v>3-1-D2</v>
      </c>
      <c r="E76" s="76" t="str">
        <f t="shared" si="22"/>
        <v>CAPO ELETTRICISTA-Capo Elettricista (par. 156)</v>
      </c>
      <c r="F76" s="76" t="str">
        <f t="shared" si="16"/>
        <v>CAPO ELETTRICISTA-D2-Capo Elettricista (par. 156)</v>
      </c>
      <c r="G76" s="76" t="str">
        <f t="shared" si="23"/>
        <v>1-CAPO ELETTRICISTA-D2</v>
      </c>
      <c r="H76" s="76" t="str">
        <f t="shared" si="24"/>
        <v>D2-CAPO ELETTRICISTA-3-1-D2</v>
      </c>
      <c r="I76" s="76">
        <f t="shared" si="17"/>
        <v>34</v>
      </c>
      <c r="J76" s="76">
        <f>COUNTIF($A$6:A76,"="&amp;A76)</f>
        <v>1</v>
      </c>
      <c r="K76" s="76" t="str">
        <f>EDR1!D106</f>
        <v>CAPO ELETTRICISTA</v>
      </c>
      <c r="L76" s="76" t="str">
        <f>EDR1!C106</f>
        <v>D2</v>
      </c>
      <c r="M76" s="76" t="str">
        <f>EDR1!E106</f>
        <v>Capo Elettricista (par. 156)</v>
      </c>
      <c r="N76" s="76"/>
      <c r="O76" s="76"/>
      <c r="P76" s="82">
        <f>VLOOKUP(L76&amp;$K$2&amp;K76&amp;$K$2&amp;M76,EDR1!$A$36:$Q$268,16,FALSE)</f>
        <v>25</v>
      </c>
      <c r="Q76" s="82">
        <f>VLOOKUP(L76&amp;$K$2&amp;K76&amp;$K$2&amp;M76,EDR1!$A$36:$Q$268,17,FALSE)</f>
        <v>58</v>
      </c>
      <c r="R76" s="77">
        <f t="shared" si="18"/>
        <v>71</v>
      </c>
      <c r="S76" s="80">
        <f t="shared" si="19"/>
      </c>
      <c r="T76" s="77">
        <f t="shared" si="20"/>
      </c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</row>
    <row r="77" spans="1:33" ht="12.75" hidden="1">
      <c r="A77" s="76" t="str">
        <f t="shared" si="21"/>
        <v>D2-CAPO ELETTRICISTA</v>
      </c>
      <c r="B77" s="81" t="str">
        <f t="shared" si="14"/>
        <v>2-D2</v>
      </c>
      <c r="C77" s="81">
        <f>COUNTIF($B$6:B77,"="&amp;B77)</f>
        <v>1</v>
      </c>
      <c r="D77" s="81" t="str">
        <f t="shared" si="15"/>
        <v>1-2-D2</v>
      </c>
      <c r="E77" s="76" t="str">
        <f t="shared" si="22"/>
        <v>CAPO ELETTRICISTA-Capo Elettricista (par. 167)</v>
      </c>
      <c r="F77" s="76" t="str">
        <f t="shared" si="16"/>
        <v>CAPO ELETTRICISTA-D2-Capo Elettricista (par. 167)</v>
      </c>
      <c r="G77" s="76" t="str">
        <f t="shared" si="23"/>
        <v>2-CAPO ELETTRICISTA-D2</v>
      </c>
      <c r="H77" s="76" t="str">
        <f t="shared" si="24"/>
        <v>D2-CAPO ELETTRICISTA-1-2-D2</v>
      </c>
      <c r="I77" s="76">
        <f t="shared" si="17"/>
        <v>34</v>
      </c>
      <c r="J77" s="76">
        <f>COUNTIF($A$6:A77,"="&amp;A77)</f>
        <v>2</v>
      </c>
      <c r="K77" s="76" t="str">
        <f>EDR1!D107</f>
        <v>CAPO ELETTRICISTA</v>
      </c>
      <c r="L77" s="76" t="str">
        <f>EDR1!C107</f>
        <v>D2</v>
      </c>
      <c r="M77" s="76" t="str">
        <f>EDR1!E107</f>
        <v>Capo Elettricista (par. 167)</v>
      </c>
      <c r="N77" s="76"/>
      <c r="O77" s="76"/>
      <c r="P77" s="82">
        <f>VLOOKUP(L77&amp;$K$2&amp;K77&amp;$K$2&amp;M77,EDR1!$A$36:$Q$268,16,FALSE)</f>
        <v>25</v>
      </c>
      <c r="Q77" s="82">
        <f>VLOOKUP(L77&amp;$K$2&amp;K77&amp;$K$2&amp;M77,EDR1!$A$36:$Q$268,17,FALSE)</f>
        <v>58</v>
      </c>
      <c r="R77" s="77">
        <f t="shared" si="18"/>
        <v>72</v>
      </c>
      <c r="S77" s="80">
        <f t="shared" si="19"/>
      </c>
      <c r="T77" s="77">
        <f t="shared" si="20"/>
      </c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</row>
    <row r="78" spans="1:33" ht="12.75" hidden="1">
      <c r="A78" s="76" t="str">
        <f t="shared" si="21"/>
        <v>D2-CAPO MOTORISTA</v>
      </c>
      <c r="B78" s="81" t="str">
        <f t="shared" si="14"/>
        <v>1-D2</v>
      </c>
      <c r="C78" s="81">
        <f>COUNTIF($B$6:B78,"="&amp;B78)</f>
        <v>4</v>
      </c>
      <c r="D78" s="81" t="str">
        <f t="shared" si="15"/>
        <v>4-1-D2</v>
      </c>
      <c r="E78" s="76" t="str">
        <f t="shared" si="22"/>
        <v>CAPO MOTORISTA-Capo Motorista (par. 156)</v>
      </c>
      <c r="F78" s="76" t="str">
        <f t="shared" si="16"/>
        <v>CAPO MOTORISTA-D2-Capo Motorista (par. 156)</v>
      </c>
      <c r="G78" s="76" t="str">
        <f t="shared" si="23"/>
        <v>1-CAPO MOTORISTA-D2</v>
      </c>
      <c r="H78" s="76" t="str">
        <f t="shared" si="24"/>
        <v>D2-CAPO MOTORISTA-4-1-D2</v>
      </c>
      <c r="I78" s="76">
        <f t="shared" si="17"/>
        <v>35</v>
      </c>
      <c r="J78" s="76">
        <f>COUNTIF($A$6:A78,"="&amp;A78)</f>
        <v>1</v>
      </c>
      <c r="K78" s="76" t="str">
        <f>EDR1!D108</f>
        <v>CAPO MOTORISTA</v>
      </c>
      <c r="L78" s="76" t="str">
        <f>EDR1!C108</f>
        <v>D2</v>
      </c>
      <c r="M78" s="76" t="str">
        <f>EDR1!E108</f>
        <v>Capo Motorista (par. 156)</v>
      </c>
      <c r="N78" s="76"/>
      <c r="O78" s="76"/>
      <c r="P78" s="82">
        <f>VLOOKUP(L78&amp;$K$2&amp;K78&amp;$K$2&amp;M78,EDR1!$A$36:$Q$268,16,FALSE)</f>
        <v>25</v>
      </c>
      <c r="Q78" s="82">
        <f>VLOOKUP(L78&amp;$K$2&amp;K78&amp;$K$2&amp;M78,EDR1!$A$36:$Q$268,17,FALSE)</f>
        <v>58</v>
      </c>
      <c r="R78" s="77">
        <f t="shared" si="18"/>
        <v>73</v>
      </c>
      <c r="S78" s="80">
        <f t="shared" si="19"/>
      </c>
      <c r="T78" s="77">
        <f t="shared" si="20"/>
      </c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</row>
    <row r="79" spans="1:33" ht="12.75" hidden="1">
      <c r="A79" s="76" t="str">
        <f t="shared" si="21"/>
        <v>D2-CAPO MOTORISTA</v>
      </c>
      <c r="B79" s="81" t="str">
        <f t="shared" si="14"/>
        <v>2-D2</v>
      </c>
      <c r="C79" s="81">
        <f>COUNTIF($B$6:B79,"="&amp;B79)</f>
        <v>2</v>
      </c>
      <c r="D79" s="81" t="str">
        <f t="shared" si="15"/>
        <v>2-2-D2</v>
      </c>
      <c r="E79" s="76" t="str">
        <f t="shared" si="22"/>
        <v>CAPO MOTORISTA-Capo Motorista (par. 167)</v>
      </c>
      <c r="F79" s="76" t="str">
        <f t="shared" si="16"/>
        <v>CAPO MOTORISTA-D2-Capo Motorista (par. 167)</v>
      </c>
      <c r="G79" s="76" t="str">
        <f t="shared" si="23"/>
        <v>2-CAPO MOTORISTA-D2</v>
      </c>
      <c r="H79" s="76" t="str">
        <f t="shared" si="24"/>
        <v>D2-CAPO MOTORISTA-2-2-D2</v>
      </c>
      <c r="I79" s="76">
        <f t="shared" si="17"/>
        <v>35</v>
      </c>
      <c r="J79" s="76">
        <f>COUNTIF($A$6:A79,"="&amp;A79)</f>
        <v>2</v>
      </c>
      <c r="K79" s="76" t="str">
        <f>EDR1!D109</f>
        <v>CAPO MOTORISTA</v>
      </c>
      <c r="L79" s="76" t="str">
        <f>EDR1!C109</f>
        <v>D2</v>
      </c>
      <c r="M79" s="76" t="str">
        <f>EDR1!E109</f>
        <v>Capo Motorista (par. 167)</v>
      </c>
      <c r="N79" s="76"/>
      <c r="O79" s="76"/>
      <c r="P79" s="82">
        <f>VLOOKUP(L79&amp;$K$2&amp;K79&amp;$K$2&amp;M79,EDR1!$A$36:$Q$268,16,FALSE)</f>
        <v>25</v>
      </c>
      <c r="Q79" s="82">
        <f>VLOOKUP(L79&amp;$K$2&amp;K79&amp;$K$2&amp;M79,EDR1!$A$36:$Q$268,17,FALSE)</f>
        <v>58</v>
      </c>
      <c r="R79" s="77">
        <f t="shared" si="18"/>
        <v>74</v>
      </c>
      <c r="S79" s="80">
        <f t="shared" si="19"/>
      </c>
      <c r="T79" s="77">
        <f t="shared" si="20"/>
      </c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</row>
    <row r="80" spans="1:33" ht="12.75" hidden="1">
      <c r="A80" s="76" t="str">
        <f t="shared" si="21"/>
        <v>D2-CAPO STAZIONE</v>
      </c>
      <c r="B80" s="81" t="str">
        <f t="shared" si="14"/>
        <v>1-D2</v>
      </c>
      <c r="C80" s="81">
        <f>COUNTIF($B$6:B80,"="&amp;B80)</f>
        <v>5</v>
      </c>
      <c r="D80" s="81" t="str">
        <f t="shared" si="15"/>
        <v>5-1-D2</v>
      </c>
      <c r="E80" s="76" t="str">
        <f t="shared" si="22"/>
        <v>CAPO STAZIONE-Capo Stazione(par. 156)</v>
      </c>
      <c r="F80" s="76" t="str">
        <f t="shared" si="16"/>
        <v>CAPO STAZIONE-D2-Capo Stazione(par. 156)</v>
      </c>
      <c r="G80" s="76" t="str">
        <f t="shared" si="23"/>
        <v>1-CAPO STAZIONE-D2</v>
      </c>
      <c r="H80" s="76" t="str">
        <f t="shared" si="24"/>
        <v>D2-CAPO STAZIONE-5-1-D2</v>
      </c>
      <c r="I80" s="76">
        <f t="shared" si="17"/>
        <v>36</v>
      </c>
      <c r="J80" s="76">
        <f>COUNTIF($A$6:A80,"="&amp;A80)</f>
        <v>1</v>
      </c>
      <c r="K80" s="76" t="str">
        <f>EDR1!D110</f>
        <v>CAPO STAZIONE</v>
      </c>
      <c r="L80" s="76" t="str">
        <f>EDR1!C110</f>
        <v>D2</v>
      </c>
      <c r="M80" s="76" t="str">
        <f>EDR1!E110</f>
        <v>Capo Stazione(par. 156)</v>
      </c>
      <c r="N80" s="76"/>
      <c r="O80" s="76"/>
      <c r="P80" s="82">
        <f>VLOOKUP(L80&amp;$K$2&amp;K80&amp;$K$2&amp;M80,EDR1!$A$36:$Q$268,16,FALSE)</f>
        <v>30</v>
      </c>
      <c r="Q80" s="82">
        <f>VLOOKUP(L80&amp;$K$2&amp;K80&amp;$K$2&amp;M80,EDR1!$A$36:$Q$268,17,FALSE)</f>
        <v>65</v>
      </c>
      <c r="R80" s="77">
        <f t="shared" si="18"/>
        <v>75</v>
      </c>
      <c r="S80" s="80">
        <f t="shared" si="19"/>
      </c>
      <c r="T80" s="77">
        <f t="shared" si="20"/>
      </c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</row>
    <row r="81" spans="1:33" ht="12.75" hidden="1">
      <c r="A81" s="76" t="str">
        <f t="shared" si="21"/>
        <v>D2-CAPO STAZIONE</v>
      </c>
      <c r="B81" s="81" t="str">
        <f t="shared" si="14"/>
        <v>2-D2</v>
      </c>
      <c r="C81" s="81">
        <f>COUNTIF($B$6:B81,"="&amp;B81)</f>
        <v>3</v>
      </c>
      <c r="D81" s="81" t="str">
        <f t="shared" si="15"/>
        <v>3-2-D2</v>
      </c>
      <c r="E81" s="76" t="str">
        <f t="shared" si="22"/>
        <v>CAPO STAZIONE-Capo Stazione(par. 167)</v>
      </c>
      <c r="F81" s="76" t="str">
        <f t="shared" si="16"/>
        <v>CAPO STAZIONE-D2-Capo Stazione(par. 167)</v>
      </c>
      <c r="G81" s="76" t="str">
        <f t="shared" si="23"/>
        <v>2-CAPO STAZIONE-D2</v>
      </c>
      <c r="H81" s="76" t="str">
        <f t="shared" si="24"/>
        <v>D2-CAPO STAZIONE-3-2-D2</v>
      </c>
      <c r="I81" s="76">
        <f t="shared" si="17"/>
        <v>36</v>
      </c>
      <c r="J81" s="76">
        <f>COUNTIF($A$6:A81,"="&amp;A81)</f>
        <v>2</v>
      </c>
      <c r="K81" s="76" t="str">
        <f>EDR1!D111</f>
        <v>CAPO STAZIONE</v>
      </c>
      <c r="L81" s="76" t="str">
        <f>EDR1!C111</f>
        <v>D2</v>
      </c>
      <c r="M81" s="76" t="str">
        <f>EDR1!E111</f>
        <v>Capo Stazione(par. 167)</v>
      </c>
      <c r="N81" s="76"/>
      <c r="O81" s="76"/>
      <c r="P81" s="82">
        <f>VLOOKUP(L81&amp;$K$2&amp;K81&amp;$K$2&amp;M81,EDR1!$A$36:$Q$268,16,FALSE)</f>
        <v>30</v>
      </c>
      <c r="Q81" s="82">
        <f>VLOOKUP(L81&amp;$K$2&amp;K81&amp;$K$2&amp;M81,EDR1!$A$36:$Q$268,17,FALSE)</f>
        <v>65</v>
      </c>
      <c r="R81" s="77">
        <f t="shared" si="18"/>
        <v>76</v>
      </c>
      <c r="S81" s="80">
        <f t="shared" si="19"/>
      </c>
      <c r="T81" s="77">
        <f t="shared" si="20"/>
      </c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</row>
    <row r="82" spans="1:33" ht="12.75" hidden="1">
      <c r="A82" s="76" t="str">
        <f t="shared" si="21"/>
        <v>D2-CAPO TECNICO</v>
      </c>
      <c r="B82" s="81" t="str">
        <f t="shared" si="14"/>
        <v>1-D2</v>
      </c>
      <c r="C82" s="81">
        <f>COUNTIF($B$6:B82,"="&amp;B82)</f>
        <v>6</v>
      </c>
      <c r="D82" s="81" t="str">
        <f t="shared" si="15"/>
        <v>6-1-D2</v>
      </c>
      <c r="E82" s="76" t="str">
        <f t="shared" si="22"/>
        <v>CAPO TECNICO-Capo Tecnico (par. 156)</v>
      </c>
      <c r="F82" s="76" t="str">
        <f t="shared" si="16"/>
        <v>CAPO TECNICO-D2-Capo Tecnico (par. 156)</v>
      </c>
      <c r="G82" s="76" t="str">
        <f t="shared" si="23"/>
        <v>1-CAPO TECNICO-D2</v>
      </c>
      <c r="H82" s="76" t="str">
        <f t="shared" si="24"/>
        <v>D2-CAPO TECNICO-6-1-D2</v>
      </c>
      <c r="I82" s="76">
        <f t="shared" si="17"/>
        <v>37</v>
      </c>
      <c r="J82" s="76">
        <f>COUNTIF($A$6:A82,"="&amp;A82)</f>
        <v>1</v>
      </c>
      <c r="K82" s="76" t="str">
        <f>EDR1!D112</f>
        <v>CAPO TECNICO</v>
      </c>
      <c r="L82" s="76" t="str">
        <f>EDR1!C112</f>
        <v>D2</v>
      </c>
      <c r="M82" s="76" t="str">
        <f>EDR1!E112</f>
        <v>Capo Tecnico (par. 156)</v>
      </c>
      <c r="N82" s="76"/>
      <c r="O82" s="76"/>
      <c r="P82" s="82">
        <f>VLOOKUP(L82&amp;$K$2&amp;K82&amp;$K$2&amp;M82,EDR1!$A$36:$Q$268,16,FALSE)</f>
        <v>30</v>
      </c>
      <c r="Q82" s="82">
        <f>VLOOKUP(L82&amp;$K$2&amp;K82&amp;$K$2&amp;M82,EDR1!$A$36:$Q$268,17,FALSE)</f>
        <v>65</v>
      </c>
      <c r="R82" s="77">
        <f t="shared" si="18"/>
        <v>77</v>
      </c>
      <c r="S82" s="80">
        <f t="shared" si="19"/>
      </c>
      <c r="T82" s="77">
        <f t="shared" si="20"/>
      </c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</row>
    <row r="83" spans="1:33" ht="12.75" hidden="1">
      <c r="A83" s="76" t="str">
        <f t="shared" si="21"/>
        <v>D2-CAPO TECNICO</v>
      </c>
      <c r="B83" s="81" t="str">
        <f t="shared" si="14"/>
        <v>2-D2</v>
      </c>
      <c r="C83" s="81">
        <f>COUNTIF($B$6:B83,"="&amp;B83)</f>
        <v>4</v>
      </c>
      <c r="D83" s="81" t="str">
        <f t="shared" si="15"/>
        <v>4-2-D2</v>
      </c>
      <c r="E83" s="76" t="str">
        <f t="shared" si="22"/>
        <v>CAPO TECNICO-Capo Tecnico (par. 167)</v>
      </c>
      <c r="F83" s="76" t="str">
        <f t="shared" si="16"/>
        <v>CAPO TECNICO-D2-Capo Tecnico (par. 167)</v>
      </c>
      <c r="G83" s="76" t="str">
        <f t="shared" si="23"/>
        <v>2-CAPO TECNICO-D2</v>
      </c>
      <c r="H83" s="76" t="str">
        <f t="shared" si="24"/>
        <v>D2-CAPO TECNICO-4-2-D2</v>
      </c>
      <c r="I83" s="76">
        <f t="shared" si="17"/>
        <v>37</v>
      </c>
      <c r="J83" s="76">
        <f>COUNTIF($A$6:A83,"="&amp;A83)</f>
        <v>2</v>
      </c>
      <c r="K83" s="76" t="str">
        <f>EDR1!D113</f>
        <v>CAPO TECNICO</v>
      </c>
      <c r="L83" s="76" t="str">
        <f>EDR1!C113</f>
        <v>D2</v>
      </c>
      <c r="M83" s="76" t="str">
        <f>EDR1!E113</f>
        <v>Capo Tecnico (par. 167)</v>
      </c>
      <c r="N83" s="76"/>
      <c r="O83" s="76"/>
      <c r="P83" s="82">
        <f>VLOOKUP(L83&amp;$K$2&amp;K83&amp;$K$2&amp;M83,EDR1!$A$36:$Q$268,16,FALSE)</f>
        <v>30</v>
      </c>
      <c r="Q83" s="82">
        <f>VLOOKUP(L83&amp;$K$2&amp;K83&amp;$K$2&amp;M83,EDR1!$A$36:$Q$268,17,FALSE)</f>
        <v>65</v>
      </c>
      <c r="R83" s="77">
        <f t="shared" si="18"/>
        <v>78</v>
      </c>
      <c r="S83" s="80">
        <f t="shared" si="19"/>
      </c>
      <c r="T83" s="77">
        <f t="shared" si="20"/>
      </c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</row>
    <row r="84" spans="1:33" ht="12.75" hidden="1">
      <c r="A84" s="76" t="str">
        <f t="shared" si="21"/>
        <v>D2-CAPO TECNICO</v>
      </c>
      <c r="B84" s="81" t="str">
        <f t="shared" si="14"/>
        <v>3-D2</v>
      </c>
      <c r="C84" s="81">
        <f>COUNTIF($B$6:B84,"="&amp;B84)</f>
        <v>1</v>
      </c>
      <c r="D84" s="81" t="str">
        <f t="shared" si="15"/>
        <v>1-3-D2</v>
      </c>
      <c r="E84" s="76" t="str">
        <f t="shared" si="22"/>
        <v>CAPO TECNICO-Capo Tecnico Manutenzione Infrastrutt. (par. 156-167)</v>
      </c>
      <c r="F84" s="76" t="str">
        <f t="shared" si="16"/>
        <v>CAPO TECNICO-D2-Capo Tecnico Manutenzione Infrastrutt. (par. 156-167)</v>
      </c>
      <c r="G84" s="76" t="str">
        <f t="shared" si="23"/>
        <v>3-CAPO TECNICO-D2</v>
      </c>
      <c r="H84" s="76" t="str">
        <f t="shared" si="24"/>
        <v>D2-CAPO TECNICO-1-3-D2</v>
      </c>
      <c r="I84" s="76">
        <f t="shared" si="17"/>
        <v>37</v>
      </c>
      <c r="J84" s="76">
        <f>COUNTIF($A$6:A84,"="&amp;A84)</f>
        <v>3</v>
      </c>
      <c r="K84" s="76" t="str">
        <f>EDR1!D114</f>
        <v>CAPO TECNICO</v>
      </c>
      <c r="L84" s="76" t="str">
        <f>EDR1!C114</f>
        <v>D2</v>
      </c>
      <c r="M84" s="76" t="str">
        <f>EDR1!E114</f>
        <v>Capo Tecnico Manutenzione Infrastrutt. (par. 156-167)</v>
      </c>
      <c r="N84" s="76"/>
      <c r="O84" s="76"/>
      <c r="P84" s="82">
        <f>VLOOKUP(L84&amp;$K$2&amp;K84&amp;$K$2&amp;M84,EDR1!$A$36:$Q$268,16,FALSE)</f>
        <v>30</v>
      </c>
      <c r="Q84" s="82">
        <f>VLOOKUP(L84&amp;$K$2&amp;K84&amp;$K$2&amp;M84,EDR1!$A$36:$Q$268,17,FALSE)</f>
        <v>65</v>
      </c>
      <c r="R84" s="77">
        <f t="shared" si="18"/>
        <v>79</v>
      </c>
      <c r="S84" s="80">
        <f t="shared" si="19"/>
      </c>
      <c r="T84" s="77">
        <f t="shared" si="20"/>
      </c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</row>
    <row r="85" spans="1:33" ht="12.75" hidden="1">
      <c r="A85" s="76" t="str">
        <f t="shared" si="21"/>
        <v>D2-CAPO TECNICO</v>
      </c>
      <c r="B85" s="81" t="str">
        <f t="shared" si="14"/>
        <v>4-D2</v>
      </c>
      <c r="C85" s="81">
        <f>COUNTIF($B$6:B85,"="&amp;B85)</f>
        <v>1</v>
      </c>
      <c r="D85" s="81" t="str">
        <f t="shared" si="15"/>
        <v>1-4-D2</v>
      </c>
      <c r="E85" s="76" t="str">
        <f t="shared" si="22"/>
        <v>CAPO TECNICO-Capo Tecnico Manutenzione Rotabili (par. 156-167)</v>
      </c>
      <c r="F85" s="76" t="str">
        <f t="shared" si="16"/>
        <v>CAPO TECNICO-D2-Capo Tecnico Manutenzione Rotabili (par. 156-167)</v>
      </c>
      <c r="G85" s="76" t="str">
        <f t="shared" si="23"/>
        <v>4-CAPO TECNICO-D2</v>
      </c>
      <c r="H85" s="76" t="str">
        <f t="shared" si="24"/>
        <v>D2-CAPO TECNICO-1-4-D2</v>
      </c>
      <c r="I85" s="76">
        <f t="shared" si="17"/>
        <v>37</v>
      </c>
      <c r="J85" s="76">
        <f>COUNTIF($A$6:A85,"="&amp;A85)</f>
        <v>4</v>
      </c>
      <c r="K85" s="76" t="str">
        <f>EDR1!D115</f>
        <v>CAPO TECNICO</v>
      </c>
      <c r="L85" s="76" t="str">
        <f>EDR1!C115</f>
        <v>D2</v>
      </c>
      <c r="M85" s="76" t="str">
        <f>EDR1!E115</f>
        <v>Capo Tecnico Manutenzione Rotabili (par. 156-167)</v>
      </c>
      <c r="N85" s="76"/>
      <c r="O85" s="76"/>
      <c r="P85" s="82">
        <f>VLOOKUP(L85&amp;$K$2&amp;K85&amp;$K$2&amp;M85,EDR1!$A$36:$Q$268,16,FALSE)</f>
        <v>30</v>
      </c>
      <c r="Q85" s="82">
        <f>VLOOKUP(L85&amp;$K$2&amp;K85&amp;$K$2&amp;M85,EDR1!$A$36:$Q$268,17,FALSE)</f>
        <v>65</v>
      </c>
      <c r="R85" s="77">
        <f t="shared" si="18"/>
        <v>80</v>
      </c>
      <c r="S85" s="80">
        <f t="shared" si="19"/>
      </c>
      <c r="T85" s="77">
        <f t="shared" si="20"/>
      </c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</row>
    <row r="86" spans="1:33" ht="12.75" hidden="1">
      <c r="A86" s="76" t="str">
        <f t="shared" si="21"/>
        <v>D2-CAPO TECNICO</v>
      </c>
      <c r="B86" s="81" t="str">
        <f t="shared" si="14"/>
        <v>5-D2</v>
      </c>
      <c r="C86" s="81">
        <f>COUNTIF($B$6:B86,"="&amp;B86)</f>
        <v>1</v>
      </c>
      <c r="D86" s="81" t="str">
        <f t="shared" si="15"/>
        <v>1-5-D2</v>
      </c>
      <c r="E86" s="76" t="str">
        <f t="shared" si="22"/>
        <v>CAPO TECNICO-Capo Tecnico Officine Navi Traghetto (par. 156-167)</v>
      </c>
      <c r="F86" s="76" t="str">
        <f t="shared" si="16"/>
        <v>CAPO TECNICO-D2-Capo Tecnico Officine Navi Traghetto (par. 156-167)</v>
      </c>
      <c r="G86" s="76" t="str">
        <f t="shared" si="23"/>
        <v>5-CAPO TECNICO-D2</v>
      </c>
      <c r="H86" s="76" t="str">
        <f t="shared" si="24"/>
        <v>D2-CAPO TECNICO-1-5-D2</v>
      </c>
      <c r="I86" s="76">
        <f t="shared" si="17"/>
        <v>37</v>
      </c>
      <c r="J86" s="76">
        <f>COUNTIF($A$6:A86,"="&amp;A86)</f>
        <v>5</v>
      </c>
      <c r="K86" s="76" t="str">
        <f>EDR1!D116</f>
        <v>CAPO TECNICO</v>
      </c>
      <c r="L86" s="76" t="str">
        <f>EDR1!C116</f>
        <v>D2</v>
      </c>
      <c r="M86" s="76" t="str">
        <f>EDR1!E116</f>
        <v>Capo Tecnico Officine Navi Traghetto (par. 156-167)</v>
      </c>
      <c r="N86" s="76"/>
      <c r="O86" s="76"/>
      <c r="P86" s="82">
        <f>VLOOKUP(L86&amp;$K$2&amp;K86&amp;$K$2&amp;M86,EDR1!$A$36:$Q$268,16,FALSE)</f>
        <v>30</v>
      </c>
      <c r="Q86" s="82">
        <f>VLOOKUP(L86&amp;$K$2&amp;K86&amp;$K$2&amp;M86,EDR1!$A$36:$Q$268,17,FALSE)</f>
        <v>65</v>
      </c>
      <c r="R86" s="77">
        <f t="shared" si="18"/>
        <v>81</v>
      </c>
      <c r="S86" s="80">
        <f t="shared" si="19"/>
      </c>
      <c r="T86" s="77">
        <f t="shared" si="20"/>
      </c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</row>
    <row r="87" spans="1:33" ht="12.75" hidden="1">
      <c r="A87" s="76" t="str">
        <f t="shared" si="21"/>
        <v>D2-CAPO TECNICO</v>
      </c>
      <c r="B87" s="81" t="str">
        <f t="shared" si="14"/>
        <v>6-D2</v>
      </c>
      <c r="C87" s="81">
        <f>COUNTIF($B$6:B87,"="&amp;B87)</f>
        <v>1</v>
      </c>
      <c r="D87" s="81" t="str">
        <f t="shared" si="15"/>
        <v>1-6-D2</v>
      </c>
      <c r="E87" s="76" t="str">
        <f t="shared" si="22"/>
        <v>CAPO TECNICO-Capo Tecnico Officine Nazionali Infrastrutt. (par. 156-167)</v>
      </c>
      <c r="F87" s="76" t="str">
        <f t="shared" si="16"/>
        <v>CAPO TECNICO-D2-Capo Tecnico Officine Nazionali Infrastrutt. (par. 156-167)</v>
      </c>
      <c r="G87" s="76" t="str">
        <f t="shared" si="23"/>
        <v>6-CAPO TECNICO-D2</v>
      </c>
      <c r="H87" s="76" t="str">
        <f t="shared" si="24"/>
        <v>D2-CAPO TECNICO-1-6-D2</v>
      </c>
      <c r="I87" s="76">
        <f t="shared" si="17"/>
        <v>37</v>
      </c>
      <c r="J87" s="76">
        <f>COUNTIF($A$6:A87,"="&amp;A87)</f>
        <v>6</v>
      </c>
      <c r="K87" s="76" t="str">
        <f>EDR1!D117</f>
        <v>CAPO TECNICO</v>
      </c>
      <c r="L87" s="76" t="str">
        <f>EDR1!C117</f>
        <v>D2</v>
      </c>
      <c r="M87" s="76" t="str">
        <f>EDR1!E117</f>
        <v>Capo Tecnico Officine Nazionali Infrastrutt. (par. 156-167)</v>
      </c>
      <c r="N87" s="76"/>
      <c r="O87" s="76"/>
      <c r="P87" s="82">
        <f>VLOOKUP(L87&amp;$K$2&amp;K87&amp;$K$2&amp;M87,EDR1!$A$36:$Q$268,16,FALSE)</f>
        <v>30</v>
      </c>
      <c r="Q87" s="82">
        <f>VLOOKUP(L87&amp;$K$2&amp;K87&amp;$K$2&amp;M87,EDR1!$A$36:$Q$268,17,FALSE)</f>
        <v>65</v>
      </c>
      <c r="R87" s="77">
        <f t="shared" si="18"/>
        <v>82</v>
      </c>
      <c r="S87" s="80">
        <f t="shared" si="19"/>
      </c>
      <c r="T87" s="77">
        <f t="shared" si="20"/>
      </c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</row>
    <row r="88" spans="1:33" ht="12.75" hidden="1">
      <c r="A88" s="76" t="str">
        <f t="shared" si="21"/>
        <v>D2-CAPO TRENO/CAPO SERVIZI TRENO</v>
      </c>
      <c r="B88" s="81" t="str">
        <f t="shared" si="14"/>
        <v>1-D2</v>
      </c>
      <c r="C88" s="81">
        <f>COUNTIF($B$6:B88,"="&amp;B88)</f>
        <v>7</v>
      </c>
      <c r="D88" s="81" t="str">
        <f t="shared" si="15"/>
        <v>7-1-D2</v>
      </c>
      <c r="E88" s="76" t="str">
        <f t="shared" si="22"/>
        <v>CAPO TRENO/CAPO SERVIZI TRENO-Capo Treno/Capo Servizi Treno (par. 156)</v>
      </c>
      <c r="F88" s="76" t="str">
        <f t="shared" si="16"/>
        <v>CAPO TRENO/CAPO SERVIZI TRENO-D2-Capo Treno/Capo Servizi Treno (par. 156)</v>
      </c>
      <c r="G88" s="76" t="str">
        <f t="shared" si="23"/>
        <v>1-CAPO TRENO/CAPO SERVIZI TRENO-D2</v>
      </c>
      <c r="H88" s="76" t="str">
        <f t="shared" si="24"/>
        <v>D2-CAPO TRENO/CAPO SERVIZI TRENO-7-1-D2</v>
      </c>
      <c r="I88" s="76">
        <f t="shared" si="17"/>
        <v>38</v>
      </c>
      <c r="J88" s="76">
        <f>COUNTIF($A$6:A88,"="&amp;A88)</f>
        <v>1</v>
      </c>
      <c r="K88" s="76" t="str">
        <f>EDR1!D118</f>
        <v>CAPO TRENO/CAPO SERVIZI TRENO</v>
      </c>
      <c r="L88" s="76" t="str">
        <f>EDR1!C118</f>
        <v>D2</v>
      </c>
      <c r="M88" s="76" t="str">
        <f>EDR1!E118</f>
        <v>Capo Treno/Capo Servizi Treno (par. 156)</v>
      </c>
      <c r="N88" s="76"/>
      <c r="O88" s="76"/>
      <c r="P88" s="82">
        <f>VLOOKUP(L88&amp;$K$2&amp;K88&amp;$K$2&amp;M88,EDR1!$A$36:$Q$268,16,FALSE)</f>
        <v>25</v>
      </c>
      <c r="Q88" s="82">
        <f>VLOOKUP(L88&amp;$K$2&amp;K88&amp;$K$2&amp;M88,EDR1!$A$36:$Q$268,17,FALSE)</f>
        <v>58</v>
      </c>
      <c r="R88" s="77">
        <f t="shared" si="18"/>
        <v>83</v>
      </c>
      <c r="S88" s="80">
        <f t="shared" si="19"/>
      </c>
      <c r="T88" s="77">
        <f t="shared" si="20"/>
      </c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</row>
    <row r="89" spans="1:33" ht="12.75" hidden="1">
      <c r="A89" s="76" t="str">
        <f t="shared" si="21"/>
        <v>D2-CAPO TRENO/CAPO SERVIZI TRENO</v>
      </c>
      <c r="B89" s="81" t="str">
        <f t="shared" si="14"/>
        <v>2-D2</v>
      </c>
      <c r="C89" s="81">
        <f>COUNTIF($B$6:B89,"="&amp;B89)</f>
        <v>5</v>
      </c>
      <c r="D89" s="81" t="str">
        <f t="shared" si="15"/>
        <v>5-2-D2</v>
      </c>
      <c r="E89" s="76" t="str">
        <f t="shared" si="22"/>
        <v>CAPO TRENO/CAPO SERVIZI TRENO-Capo Treno/Capo Servizi Treno (par. 167)</v>
      </c>
      <c r="F89" s="76" t="str">
        <f t="shared" si="16"/>
        <v>CAPO TRENO/CAPO SERVIZI TRENO-D2-Capo Treno/Capo Servizi Treno (par. 167)</v>
      </c>
      <c r="G89" s="76" t="str">
        <f t="shared" si="23"/>
        <v>2-CAPO TRENO/CAPO SERVIZI TRENO-D2</v>
      </c>
      <c r="H89" s="76" t="str">
        <f t="shared" si="24"/>
        <v>D2-CAPO TRENO/CAPO SERVIZI TRENO-5-2-D2</v>
      </c>
      <c r="I89" s="76">
        <f t="shared" si="17"/>
        <v>38</v>
      </c>
      <c r="J89" s="76">
        <f>COUNTIF($A$6:A89,"="&amp;A89)</f>
        <v>2</v>
      </c>
      <c r="K89" s="76" t="str">
        <f>EDR1!D119</f>
        <v>CAPO TRENO/CAPO SERVIZI TRENO</v>
      </c>
      <c r="L89" s="76" t="str">
        <f>EDR1!C119</f>
        <v>D2</v>
      </c>
      <c r="M89" s="76" t="str">
        <f>EDR1!E119</f>
        <v>Capo Treno/Capo Servizi Treno (par. 167)</v>
      </c>
      <c r="N89" s="76"/>
      <c r="O89" s="76"/>
      <c r="P89" s="82">
        <f>VLOOKUP(L89&amp;$K$2&amp;K89&amp;$K$2&amp;M89,EDR1!$A$36:$Q$268,16,FALSE)</f>
        <v>25</v>
      </c>
      <c r="Q89" s="82">
        <f>VLOOKUP(L89&amp;$K$2&amp;K89&amp;$K$2&amp;M89,EDR1!$A$36:$Q$268,17,FALSE)</f>
        <v>58</v>
      </c>
      <c r="R89" s="77">
        <f t="shared" si="18"/>
        <v>84</v>
      </c>
      <c r="S89" s="80">
        <f t="shared" si="19"/>
      </c>
      <c r="T89" s="77">
        <f t="shared" si="20"/>
      </c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</row>
    <row r="90" spans="1:33" ht="12.75" hidden="1">
      <c r="A90" s="76" t="str">
        <f t="shared" si="21"/>
        <v>D2-COADIUTORE MEDICO</v>
      </c>
      <c r="B90" s="81" t="str">
        <f t="shared" si="14"/>
        <v>1-D2</v>
      </c>
      <c r="C90" s="81">
        <f>COUNTIF($B$6:B90,"="&amp;B90)</f>
        <v>8</v>
      </c>
      <c r="D90" s="81" t="str">
        <f t="shared" si="15"/>
        <v>8-1-D2</v>
      </c>
      <c r="E90" s="76" t="str">
        <f t="shared" si="22"/>
        <v>COADIUTORE MEDICO-Paramedico (par. 156)</v>
      </c>
      <c r="F90" s="76" t="str">
        <f t="shared" si="16"/>
        <v>COADIUTORE MEDICO-D2-Paramedico (par. 156)</v>
      </c>
      <c r="G90" s="76" t="str">
        <f t="shared" si="23"/>
        <v>1-COADIUTORE MEDICO-D2</v>
      </c>
      <c r="H90" s="76" t="str">
        <f t="shared" si="24"/>
        <v>D2-COADIUTORE MEDICO-8-1-D2</v>
      </c>
      <c r="I90" s="76">
        <f t="shared" si="17"/>
        <v>39</v>
      </c>
      <c r="J90" s="76">
        <f>COUNTIF($A$6:A90,"="&amp;A90)</f>
        <v>1</v>
      </c>
      <c r="K90" s="76" t="str">
        <f>EDR1!D120</f>
        <v>COADIUTORE MEDICO</v>
      </c>
      <c r="L90" s="76" t="str">
        <f>EDR1!C120</f>
        <v>D2</v>
      </c>
      <c r="M90" s="76" t="str">
        <f>EDR1!E120</f>
        <v>Paramedico (par. 156)</v>
      </c>
      <c r="N90" s="76"/>
      <c r="O90" s="76"/>
      <c r="P90" s="82">
        <f>VLOOKUP(L90&amp;$K$2&amp;K90&amp;$K$2&amp;M90,EDR1!$A$36:$Q$268,16,FALSE)</f>
        <v>30</v>
      </c>
      <c r="Q90" s="82">
        <f>VLOOKUP(L90&amp;$K$2&amp;K90&amp;$K$2&amp;M90,EDR1!$A$36:$Q$268,17,FALSE)</f>
        <v>65</v>
      </c>
      <c r="R90" s="77">
        <f t="shared" si="18"/>
        <v>85</v>
      </c>
      <c r="S90" s="80">
        <f t="shared" si="19"/>
      </c>
      <c r="T90" s="77">
        <f t="shared" si="20"/>
      </c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</row>
    <row r="91" spans="1:33" ht="12.75" hidden="1">
      <c r="A91" s="76" t="str">
        <f t="shared" si="21"/>
        <v>D2-COADIUTORE MEDICO</v>
      </c>
      <c r="B91" s="81" t="str">
        <f t="shared" si="14"/>
        <v>2-D2</v>
      </c>
      <c r="C91" s="81">
        <f>COUNTIF($B$6:B91,"="&amp;B91)</f>
        <v>6</v>
      </c>
      <c r="D91" s="81" t="str">
        <f t="shared" si="15"/>
        <v>6-2-D2</v>
      </c>
      <c r="E91" s="76" t="str">
        <f t="shared" si="22"/>
        <v>COADIUTORE MEDICO-Paramedico (par. 167)</v>
      </c>
      <c r="F91" s="76" t="str">
        <f t="shared" si="16"/>
        <v>COADIUTORE MEDICO-D2-Paramedico (par. 167)</v>
      </c>
      <c r="G91" s="76" t="str">
        <f t="shared" si="23"/>
        <v>2-COADIUTORE MEDICO-D2</v>
      </c>
      <c r="H91" s="76" t="str">
        <f t="shared" si="24"/>
        <v>D2-COADIUTORE MEDICO-6-2-D2</v>
      </c>
      <c r="I91" s="76">
        <f t="shared" si="17"/>
        <v>39</v>
      </c>
      <c r="J91" s="76">
        <f>COUNTIF($A$6:A91,"="&amp;A91)</f>
        <v>2</v>
      </c>
      <c r="K91" s="76" t="str">
        <f>EDR1!D121</f>
        <v>COADIUTORE MEDICO</v>
      </c>
      <c r="L91" s="76" t="str">
        <f>EDR1!C121</f>
        <v>D2</v>
      </c>
      <c r="M91" s="76" t="str">
        <f>EDR1!E121</f>
        <v>Paramedico (par. 167)</v>
      </c>
      <c r="N91" s="76"/>
      <c r="O91" s="76"/>
      <c r="P91" s="82">
        <f>VLOOKUP(L91&amp;$K$2&amp;K91&amp;$K$2&amp;M91,EDR1!$A$36:$Q$268,16,FALSE)</f>
        <v>30</v>
      </c>
      <c r="Q91" s="82">
        <f>VLOOKUP(L91&amp;$K$2&amp;K91&amp;$K$2&amp;M91,EDR1!$A$36:$Q$268,17,FALSE)</f>
        <v>65</v>
      </c>
      <c r="R91" s="77">
        <f t="shared" si="18"/>
        <v>86</v>
      </c>
      <c r="S91" s="80">
        <f t="shared" si="19"/>
      </c>
      <c r="T91" s="77">
        <f t="shared" si="20"/>
      </c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</row>
    <row r="92" spans="1:33" ht="12.75" hidden="1">
      <c r="A92" s="76" t="str">
        <f t="shared" si="21"/>
        <v>D2-MACCHINISTA</v>
      </c>
      <c r="B92" s="81" t="str">
        <f t="shared" si="14"/>
        <v>1-D2</v>
      </c>
      <c r="C92" s="81">
        <f>COUNTIF($B$6:B92,"="&amp;B92)</f>
        <v>9</v>
      </c>
      <c r="D92" s="81" t="str">
        <f t="shared" si="15"/>
        <v>9-1-D2</v>
      </c>
      <c r="E92" s="76" t="str">
        <f t="shared" si="22"/>
        <v>MACCHINISTA-Macchinista (par. 156)</v>
      </c>
      <c r="F92" s="76" t="str">
        <f t="shared" si="16"/>
        <v>MACCHINISTA-D2-Macchinista (par. 156)</v>
      </c>
      <c r="G92" s="76" t="str">
        <f t="shared" si="23"/>
        <v>1-MACCHINISTA-D2</v>
      </c>
      <c r="H92" s="76" t="str">
        <f t="shared" si="24"/>
        <v>D2-MACCHINISTA-9-1-D2</v>
      </c>
      <c r="I92" s="76">
        <f t="shared" si="17"/>
        <v>40</v>
      </c>
      <c r="J92" s="76">
        <f>COUNTIF($A$6:A92,"="&amp;A92)</f>
        <v>1</v>
      </c>
      <c r="K92" s="76" t="str">
        <f>EDR1!D122</f>
        <v>MACCHINISTA</v>
      </c>
      <c r="L92" s="76" t="str">
        <f>EDR1!C122</f>
        <v>D2</v>
      </c>
      <c r="M92" s="76" t="str">
        <f>EDR1!E122</f>
        <v>Macchinista (par. 156)</v>
      </c>
      <c r="N92" s="76"/>
      <c r="O92" s="76"/>
      <c r="P92" s="82">
        <f>VLOOKUP(L92&amp;$K$2&amp;K92&amp;$K$2&amp;M92,EDR1!$A$36:$Q$268,16,FALSE)</f>
        <v>25</v>
      </c>
      <c r="Q92" s="82">
        <f>VLOOKUP(L92&amp;$K$2&amp;K92&amp;$K$2&amp;M92,EDR1!$A$36:$Q$268,17,FALSE)</f>
        <v>58</v>
      </c>
      <c r="R92" s="77">
        <f t="shared" si="18"/>
        <v>87</v>
      </c>
      <c r="S92" s="80">
        <f t="shared" si="19"/>
      </c>
      <c r="T92" s="77">
        <f t="shared" si="20"/>
      </c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</row>
    <row r="93" spans="1:33" ht="12.75" hidden="1">
      <c r="A93" s="76" t="str">
        <f t="shared" si="21"/>
        <v>D2-MACCHINISTA</v>
      </c>
      <c r="B93" s="81" t="str">
        <f t="shared" si="14"/>
        <v>2-D2</v>
      </c>
      <c r="C93" s="81">
        <f>COUNTIF($B$6:B93,"="&amp;B93)</f>
        <v>7</v>
      </c>
      <c r="D93" s="81" t="str">
        <f t="shared" si="15"/>
        <v>7-2-D2</v>
      </c>
      <c r="E93" s="76" t="str">
        <f t="shared" si="22"/>
        <v>MACCHINISTA-Macchinista (par. 167)</v>
      </c>
      <c r="F93" s="76" t="str">
        <f t="shared" si="16"/>
        <v>MACCHINISTA-D2-Macchinista (par. 167)</v>
      </c>
      <c r="G93" s="76" t="str">
        <f t="shared" si="23"/>
        <v>2-MACCHINISTA-D2</v>
      </c>
      <c r="H93" s="76" t="str">
        <f t="shared" si="24"/>
        <v>D2-MACCHINISTA-7-2-D2</v>
      </c>
      <c r="I93" s="76">
        <f t="shared" si="17"/>
        <v>40</v>
      </c>
      <c r="J93" s="76">
        <f>COUNTIF($A$6:A93,"="&amp;A93)</f>
        <v>2</v>
      </c>
      <c r="K93" s="76" t="str">
        <f>EDR1!D123</f>
        <v>MACCHINISTA</v>
      </c>
      <c r="L93" s="76" t="str">
        <f>EDR1!C123</f>
        <v>D2</v>
      </c>
      <c r="M93" s="76" t="str">
        <f>EDR1!E123</f>
        <v>Macchinista (par. 167)</v>
      </c>
      <c r="N93" s="76"/>
      <c r="O93" s="76"/>
      <c r="P93" s="82">
        <f>VLOOKUP(L93&amp;$K$2&amp;K93&amp;$K$2&amp;M93,EDR1!$A$36:$Q$268,16,FALSE)</f>
        <v>25</v>
      </c>
      <c r="Q93" s="82">
        <f>VLOOKUP(L93&amp;$K$2&amp;K93&amp;$K$2&amp;M93,EDR1!$A$36:$Q$268,17,FALSE)</f>
        <v>58</v>
      </c>
      <c r="R93" s="77">
        <f t="shared" si="18"/>
        <v>88</v>
      </c>
      <c r="S93" s="80">
        <f t="shared" si="19"/>
      </c>
      <c r="T93" s="77">
        <f t="shared" si="20"/>
      </c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</row>
    <row r="94" spans="1:33" ht="12.75" hidden="1">
      <c r="A94" s="76" t="str">
        <f t="shared" si="21"/>
        <v>D2-NOSTROMO </v>
      </c>
      <c r="B94" s="81" t="str">
        <f t="shared" si="14"/>
        <v>1-D2</v>
      </c>
      <c r="C94" s="81">
        <f>COUNTIF($B$6:B94,"="&amp;B94)</f>
        <v>10</v>
      </c>
      <c r="D94" s="81" t="str">
        <f t="shared" si="15"/>
        <v>10-1-D2</v>
      </c>
      <c r="E94" s="76" t="str">
        <f t="shared" si="22"/>
        <v>NOSTROMO -Nostromo (par. 156)</v>
      </c>
      <c r="F94" s="76" t="str">
        <f t="shared" si="16"/>
        <v>NOSTROMO -D2-Nostromo (par. 156)</v>
      </c>
      <c r="G94" s="76" t="str">
        <f t="shared" si="23"/>
        <v>1-NOSTROMO -D2</v>
      </c>
      <c r="H94" s="76" t="str">
        <f t="shared" si="24"/>
        <v>D2-NOSTROMO -10-1-D2</v>
      </c>
      <c r="I94" s="76">
        <f t="shared" si="17"/>
        <v>41</v>
      </c>
      <c r="J94" s="76">
        <f>COUNTIF($A$6:A94,"="&amp;A94)</f>
        <v>1</v>
      </c>
      <c r="K94" s="76" t="str">
        <f>EDR1!D124</f>
        <v>NOSTROMO </v>
      </c>
      <c r="L94" s="76" t="str">
        <f>EDR1!C124</f>
        <v>D2</v>
      </c>
      <c r="M94" s="76" t="str">
        <f>EDR1!E124</f>
        <v>Nostromo (par. 156)</v>
      </c>
      <c r="N94" s="76"/>
      <c r="O94" s="76"/>
      <c r="P94" s="82">
        <f>VLOOKUP(L94&amp;$K$2&amp;K94&amp;$K$2&amp;M94,EDR1!$A$36:$Q$268,16,FALSE)</f>
        <v>25</v>
      </c>
      <c r="Q94" s="82">
        <f>VLOOKUP(L94&amp;$K$2&amp;K94&amp;$K$2&amp;M94,EDR1!$A$36:$Q$268,17,FALSE)</f>
        <v>58</v>
      </c>
      <c r="R94" s="77">
        <f t="shared" si="18"/>
        <v>89</v>
      </c>
      <c r="S94" s="80">
        <f t="shared" si="19"/>
      </c>
      <c r="T94" s="77">
        <f t="shared" si="20"/>
      </c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</row>
    <row r="95" spans="1:33" ht="12.75" hidden="1">
      <c r="A95" s="76" t="str">
        <f t="shared" si="21"/>
        <v>D2-NOSTROMO </v>
      </c>
      <c r="B95" s="81" t="str">
        <f t="shared" si="14"/>
        <v>2-D2</v>
      </c>
      <c r="C95" s="81">
        <f>COUNTIF($B$6:B95,"="&amp;B95)</f>
        <v>8</v>
      </c>
      <c r="D95" s="81" t="str">
        <f t="shared" si="15"/>
        <v>8-2-D2</v>
      </c>
      <c r="E95" s="76" t="str">
        <f t="shared" si="22"/>
        <v>NOSTROMO -Nostromo (par. 167)</v>
      </c>
      <c r="F95" s="76" t="str">
        <f t="shared" si="16"/>
        <v>NOSTROMO -D2-Nostromo (par. 167)</v>
      </c>
      <c r="G95" s="76" t="str">
        <f t="shared" si="23"/>
        <v>2-NOSTROMO -D2</v>
      </c>
      <c r="H95" s="76" t="str">
        <f t="shared" si="24"/>
        <v>D2-NOSTROMO -8-2-D2</v>
      </c>
      <c r="I95" s="76">
        <f t="shared" si="17"/>
        <v>41</v>
      </c>
      <c r="J95" s="76">
        <f>COUNTIF($A$6:A95,"="&amp;A95)</f>
        <v>2</v>
      </c>
      <c r="K95" s="76" t="str">
        <f>EDR1!D125</f>
        <v>NOSTROMO </v>
      </c>
      <c r="L95" s="76" t="str">
        <f>EDR1!C125</f>
        <v>D2</v>
      </c>
      <c r="M95" s="76" t="str">
        <f>EDR1!E125</f>
        <v>Nostromo (par. 167)</v>
      </c>
      <c r="N95" s="76"/>
      <c r="O95" s="76"/>
      <c r="P95" s="82">
        <f>VLOOKUP(L95&amp;$K$2&amp;K95&amp;$K$2&amp;M95,EDR1!$A$36:$Q$268,16,FALSE)</f>
        <v>25</v>
      </c>
      <c r="Q95" s="82">
        <f>VLOOKUP(L95&amp;$K$2&amp;K95&amp;$K$2&amp;M95,EDR1!$A$36:$Q$268,17,FALSE)</f>
        <v>58</v>
      </c>
      <c r="R95" s="77">
        <f t="shared" si="18"/>
        <v>90</v>
      </c>
      <c r="S95" s="80">
        <f t="shared" si="19"/>
      </c>
      <c r="T95" s="77">
        <f t="shared" si="20"/>
      </c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</row>
    <row r="96" spans="1:33" ht="12.75" hidden="1">
      <c r="A96" s="76" t="str">
        <f t="shared" si="21"/>
        <v>D2-SPECIALISTA TECNICO/AMMINISTRATIVO</v>
      </c>
      <c r="B96" s="81" t="str">
        <f t="shared" si="14"/>
        <v>1-D2</v>
      </c>
      <c r="C96" s="81">
        <f>COUNTIF($B$6:B96,"="&amp;B96)</f>
        <v>11</v>
      </c>
      <c r="D96" s="81" t="str">
        <f t="shared" si="15"/>
        <v>11-1-D2</v>
      </c>
      <c r="E96" s="76" t="str">
        <f t="shared" si="22"/>
        <v>SPECIALISTA TECNICO/AMMINISTRATIVO-Segretario (par. 156)</v>
      </c>
      <c r="F96" s="76" t="str">
        <f t="shared" si="16"/>
        <v>SPECIALISTA TECNICO/AMMINISTRATIVO-D2-Segretario (par. 156)</v>
      </c>
      <c r="G96" s="76" t="str">
        <f t="shared" si="23"/>
        <v>1-SPECIALISTA TECNICO/AMMINISTRATIVO-D2</v>
      </c>
      <c r="H96" s="76" t="str">
        <f t="shared" si="24"/>
        <v>D2-SPECIALISTA TECNICO/AMMINISTRATIVO-11-1-D2</v>
      </c>
      <c r="I96" s="76">
        <f t="shared" si="17"/>
        <v>42</v>
      </c>
      <c r="J96" s="76">
        <f>COUNTIF($A$6:A96,"="&amp;A96)</f>
        <v>1</v>
      </c>
      <c r="K96" s="76" t="str">
        <f>EDR1!D126</f>
        <v>SPECIALISTA TECNICO/AMMINISTRATIVO</v>
      </c>
      <c r="L96" s="76" t="str">
        <f>EDR1!C126</f>
        <v>D2</v>
      </c>
      <c r="M96" s="76" t="str">
        <f>EDR1!E126</f>
        <v>Segretario (par. 156)</v>
      </c>
      <c r="N96" s="76"/>
      <c r="O96" s="76"/>
      <c r="P96" s="82">
        <f>VLOOKUP(L96&amp;$K$2&amp;K96&amp;$K$2&amp;M96,EDR1!$A$36:$Q$268,16,FALSE)</f>
        <v>30</v>
      </c>
      <c r="Q96" s="82">
        <f>VLOOKUP(L96&amp;$K$2&amp;K96&amp;$K$2&amp;M96,EDR1!$A$36:$Q$268,17,FALSE)</f>
        <v>65</v>
      </c>
      <c r="R96" s="77">
        <f t="shared" si="18"/>
        <v>91</v>
      </c>
      <c r="S96" s="80">
        <f t="shared" si="19"/>
      </c>
      <c r="T96" s="77">
        <f t="shared" si="20"/>
      </c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</row>
    <row r="97" spans="1:33" ht="12.75" hidden="1">
      <c r="A97" s="76" t="str">
        <f t="shared" si="21"/>
        <v>D2-SPECIALISTA TECNICO/AMMINISTRATIVO</v>
      </c>
      <c r="B97" s="81" t="str">
        <f t="shared" si="14"/>
        <v>2-D2</v>
      </c>
      <c r="C97" s="81">
        <f>COUNTIF($B$6:B97,"="&amp;B97)</f>
        <v>9</v>
      </c>
      <c r="D97" s="81" t="str">
        <f t="shared" si="15"/>
        <v>9-2-D2</v>
      </c>
      <c r="E97" s="76" t="str">
        <f t="shared" si="22"/>
        <v>SPECIALISTA TECNICO/AMMINISTRATIVO-Segretario (par. 167)</v>
      </c>
      <c r="F97" s="76" t="str">
        <f t="shared" si="16"/>
        <v>SPECIALISTA TECNICO/AMMINISTRATIVO-D2-Segretario (par. 167)</v>
      </c>
      <c r="G97" s="76" t="str">
        <f t="shared" si="23"/>
        <v>2-SPECIALISTA TECNICO/AMMINISTRATIVO-D2</v>
      </c>
      <c r="H97" s="76" t="str">
        <f t="shared" si="24"/>
        <v>D2-SPECIALISTA TECNICO/AMMINISTRATIVO-9-2-D2</v>
      </c>
      <c r="I97" s="76">
        <f t="shared" si="17"/>
        <v>42</v>
      </c>
      <c r="J97" s="76">
        <f>COUNTIF($A$6:A97,"="&amp;A97)</f>
        <v>2</v>
      </c>
      <c r="K97" s="76" t="str">
        <f>EDR1!D127</f>
        <v>SPECIALISTA TECNICO/AMMINISTRATIVO</v>
      </c>
      <c r="L97" s="76" t="str">
        <f>EDR1!C127</f>
        <v>D2</v>
      </c>
      <c r="M97" s="76" t="str">
        <f>EDR1!E127</f>
        <v>Segretario (par. 167)</v>
      </c>
      <c r="N97" s="76"/>
      <c r="O97" s="76"/>
      <c r="P97" s="82">
        <f>VLOOKUP(L97&amp;$K$2&amp;K97&amp;$K$2&amp;M97,EDR1!$A$36:$Q$268,16,FALSE)</f>
        <v>30</v>
      </c>
      <c r="Q97" s="82">
        <f>VLOOKUP(L97&amp;$K$2&amp;K97&amp;$K$2&amp;M97,EDR1!$A$36:$Q$268,17,FALSE)</f>
        <v>65</v>
      </c>
      <c r="R97" s="77">
        <f t="shared" si="18"/>
        <v>92</v>
      </c>
      <c r="S97" s="80">
        <f t="shared" si="19"/>
      </c>
      <c r="T97" s="77">
        <f t="shared" si="20"/>
      </c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</row>
    <row r="98" spans="1:33" ht="12.75" hidden="1">
      <c r="A98" s="76" t="str">
        <f t="shared" si="21"/>
        <v>D2-SPECIALISTA TECNICO/AMMINISTRATIVO</v>
      </c>
      <c r="B98" s="81" t="str">
        <f t="shared" si="14"/>
        <v>3-D2</v>
      </c>
      <c r="C98" s="81">
        <f>COUNTIF($B$6:B98,"="&amp;B98)</f>
        <v>2</v>
      </c>
      <c r="D98" s="81" t="str">
        <f t="shared" si="15"/>
        <v>2-3-D2</v>
      </c>
      <c r="E98" s="76" t="str">
        <f t="shared" si="22"/>
        <v>SPECIALISTA TECNICO/AMMINISTRATIVO-Segretario d'Informatica (par. 156)</v>
      </c>
      <c r="F98" s="76" t="str">
        <f t="shared" si="16"/>
        <v>SPECIALISTA TECNICO/AMMINISTRATIVO-D2-Segretario d'Informatica (par. 156)</v>
      </c>
      <c r="G98" s="76" t="str">
        <f t="shared" si="23"/>
        <v>3-SPECIALISTA TECNICO/AMMINISTRATIVO-D2</v>
      </c>
      <c r="H98" s="76" t="str">
        <f t="shared" si="24"/>
        <v>D2-SPECIALISTA TECNICO/AMMINISTRATIVO-2-3-D2</v>
      </c>
      <c r="I98" s="76">
        <f t="shared" si="17"/>
        <v>42</v>
      </c>
      <c r="J98" s="76">
        <f>COUNTIF($A$6:A98,"="&amp;A98)</f>
        <v>3</v>
      </c>
      <c r="K98" s="76" t="str">
        <f>EDR1!D128</f>
        <v>SPECIALISTA TECNICO/AMMINISTRATIVO</v>
      </c>
      <c r="L98" s="76" t="str">
        <f>EDR1!C128</f>
        <v>D2</v>
      </c>
      <c r="M98" s="76" t="str">
        <f>EDR1!E128</f>
        <v>Segretario d'Informatica (par. 156)</v>
      </c>
      <c r="N98" s="76"/>
      <c r="O98" s="76"/>
      <c r="P98" s="82">
        <f>VLOOKUP(L98&amp;$K$2&amp;K98&amp;$K$2&amp;M98,EDR1!$A$36:$Q$268,16,FALSE)</f>
        <v>30</v>
      </c>
      <c r="Q98" s="82">
        <f>VLOOKUP(L98&amp;$K$2&amp;K98&amp;$K$2&amp;M98,EDR1!$A$36:$Q$268,17,FALSE)</f>
        <v>65</v>
      </c>
      <c r="R98" s="77">
        <f t="shared" si="18"/>
        <v>93</v>
      </c>
      <c r="S98" s="80">
        <f t="shared" si="19"/>
      </c>
      <c r="T98" s="77">
        <f t="shared" si="20"/>
      </c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</row>
    <row r="99" spans="1:33" ht="12.75" hidden="1">
      <c r="A99" s="76" t="str">
        <f t="shared" si="21"/>
        <v>D2-SPECIALISTA TECNICO/AMMINISTRATIVO</v>
      </c>
      <c r="B99" s="81" t="str">
        <f t="shared" si="14"/>
        <v>4-D2</v>
      </c>
      <c r="C99" s="81">
        <f>COUNTIF($B$6:B99,"="&amp;B99)</f>
        <v>2</v>
      </c>
      <c r="D99" s="81" t="str">
        <f t="shared" si="15"/>
        <v>2-4-D2</v>
      </c>
      <c r="E99" s="76" t="str">
        <f t="shared" si="22"/>
        <v>SPECIALISTA TECNICO/AMMINISTRATIVO-Segretario d'Informatica (par. 167)</v>
      </c>
      <c r="F99" s="76" t="str">
        <f t="shared" si="16"/>
        <v>SPECIALISTA TECNICO/AMMINISTRATIVO-D2-Segretario d'Informatica (par. 167)</v>
      </c>
      <c r="G99" s="76" t="str">
        <f t="shared" si="23"/>
        <v>4-SPECIALISTA TECNICO/AMMINISTRATIVO-D2</v>
      </c>
      <c r="H99" s="76" t="str">
        <f t="shared" si="24"/>
        <v>D2-SPECIALISTA TECNICO/AMMINISTRATIVO-2-4-D2</v>
      </c>
      <c r="I99" s="76">
        <f t="shared" si="17"/>
        <v>42</v>
      </c>
      <c r="J99" s="76">
        <f>COUNTIF($A$6:A99,"="&amp;A99)</f>
        <v>4</v>
      </c>
      <c r="K99" s="76" t="str">
        <f>EDR1!D129</f>
        <v>SPECIALISTA TECNICO/AMMINISTRATIVO</v>
      </c>
      <c r="L99" s="76" t="str">
        <f>EDR1!C129</f>
        <v>D2</v>
      </c>
      <c r="M99" s="76" t="str">
        <f>EDR1!E129</f>
        <v>Segretario d'Informatica (par. 167)</v>
      </c>
      <c r="N99" s="76"/>
      <c r="O99" s="76"/>
      <c r="P99" s="82">
        <f>VLOOKUP(L99&amp;$K$2&amp;K99&amp;$K$2&amp;M99,EDR1!$A$36:$Q$268,16,FALSE)</f>
        <v>30</v>
      </c>
      <c r="Q99" s="82">
        <f>VLOOKUP(L99&amp;$K$2&amp;K99&amp;$K$2&amp;M99,EDR1!$A$36:$Q$268,17,FALSE)</f>
        <v>65</v>
      </c>
      <c r="R99" s="77">
        <f t="shared" si="18"/>
        <v>94</v>
      </c>
      <c r="S99" s="80">
        <f t="shared" si="19"/>
      </c>
      <c r="T99" s="77">
        <f t="shared" si="20"/>
      </c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</row>
    <row r="100" spans="1:33" ht="12.75" hidden="1">
      <c r="A100" s="76" t="str">
        <f t="shared" si="21"/>
        <v>D2-SPECIALISTA TECNICO/AMMINISTRATIVO</v>
      </c>
      <c r="B100" s="81" t="str">
        <f t="shared" si="14"/>
        <v>5-D2</v>
      </c>
      <c r="C100" s="81">
        <f>COUNTIF($B$6:B100,"="&amp;B100)</f>
        <v>2</v>
      </c>
      <c r="D100" s="81" t="str">
        <f t="shared" si="15"/>
        <v>2-5-D2</v>
      </c>
      <c r="E100" s="76" t="str">
        <f t="shared" si="22"/>
        <v>SPECIALISTA TECNICO/AMMINISTRATIVO-Segretario Tecnico (par. 156)</v>
      </c>
      <c r="F100" s="76" t="str">
        <f t="shared" si="16"/>
        <v>SPECIALISTA TECNICO/AMMINISTRATIVO-D2-Segretario Tecnico (par. 156)</v>
      </c>
      <c r="G100" s="76" t="str">
        <f t="shared" si="23"/>
        <v>5-SPECIALISTA TECNICO/AMMINISTRATIVO-D2</v>
      </c>
      <c r="H100" s="76" t="str">
        <f t="shared" si="24"/>
        <v>D2-SPECIALISTA TECNICO/AMMINISTRATIVO-2-5-D2</v>
      </c>
      <c r="I100" s="76">
        <f t="shared" si="17"/>
        <v>42</v>
      </c>
      <c r="J100" s="76">
        <f>COUNTIF($A$6:A100,"="&amp;A100)</f>
        <v>5</v>
      </c>
      <c r="K100" s="76" t="str">
        <f>EDR1!D130</f>
        <v>SPECIALISTA TECNICO/AMMINISTRATIVO</v>
      </c>
      <c r="L100" s="76" t="str">
        <f>EDR1!C130</f>
        <v>D2</v>
      </c>
      <c r="M100" s="76" t="str">
        <f>EDR1!E130</f>
        <v>Segretario Tecnico (par. 156)</v>
      </c>
      <c r="N100" s="76"/>
      <c r="O100" s="76"/>
      <c r="P100" s="82">
        <f>VLOOKUP(L100&amp;$K$2&amp;K100&amp;$K$2&amp;M100,EDR1!$A$36:$Q$268,16,FALSE)</f>
        <v>30</v>
      </c>
      <c r="Q100" s="82">
        <f>VLOOKUP(L100&amp;$K$2&amp;K100&amp;$K$2&amp;M100,EDR1!$A$36:$Q$268,17,FALSE)</f>
        <v>65</v>
      </c>
      <c r="R100" s="77">
        <f t="shared" si="18"/>
        <v>95</v>
      </c>
      <c r="S100" s="80">
        <f t="shared" si="19"/>
      </c>
      <c r="T100" s="77">
        <f t="shared" si="20"/>
      </c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</row>
    <row r="101" spans="1:33" ht="12.75" hidden="1">
      <c r="A101" s="76" t="str">
        <f t="shared" si="21"/>
        <v>D2-SPECIALISTA TECNICO/AMMINISTRATIVO</v>
      </c>
      <c r="B101" s="81" t="str">
        <f t="shared" si="14"/>
        <v>6-D2</v>
      </c>
      <c r="C101" s="81">
        <f>COUNTIF($B$6:B101,"="&amp;B101)</f>
        <v>2</v>
      </c>
      <c r="D101" s="81" t="str">
        <f t="shared" si="15"/>
        <v>2-6-D2</v>
      </c>
      <c r="E101" s="76" t="str">
        <f t="shared" si="22"/>
        <v>SPECIALISTA TECNICO/AMMINISTRATIVO-Segretario Tecnico (par. 167)</v>
      </c>
      <c r="F101" s="76" t="str">
        <f t="shared" si="16"/>
        <v>SPECIALISTA TECNICO/AMMINISTRATIVO-D2-Segretario Tecnico (par. 167)</v>
      </c>
      <c r="G101" s="76" t="str">
        <f t="shared" si="23"/>
        <v>6-SPECIALISTA TECNICO/AMMINISTRATIVO-D2</v>
      </c>
      <c r="H101" s="76" t="str">
        <f t="shared" si="24"/>
        <v>D2-SPECIALISTA TECNICO/AMMINISTRATIVO-2-6-D2</v>
      </c>
      <c r="I101" s="76">
        <f t="shared" si="17"/>
        <v>42</v>
      </c>
      <c r="J101" s="76">
        <f>COUNTIF($A$6:A101,"="&amp;A101)</f>
        <v>6</v>
      </c>
      <c r="K101" s="76" t="str">
        <f>EDR1!D131</f>
        <v>SPECIALISTA TECNICO/AMMINISTRATIVO</v>
      </c>
      <c r="L101" s="76" t="str">
        <f>EDR1!C131</f>
        <v>D2</v>
      </c>
      <c r="M101" s="76" t="str">
        <f>EDR1!E131</f>
        <v>Segretario Tecnico (par. 167)</v>
      </c>
      <c r="N101" s="76"/>
      <c r="O101" s="76"/>
      <c r="P101" s="82">
        <f>VLOOKUP(L101&amp;$K$2&amp;K101&amp;$K$2&amp;M101,EDR1!$A$36:$Q$268,16,FALSE)</f>
        <v>30</v>
      </c>
      <c r="Q101" s="82">
        <f>VLOOKUP(L101&amp;$K$2&amp;K101&amp;$K$2&amp;M101,EDR1!$A$36:$Q$268,17,FALSE)</f>
        <v>65</v>
      </c>
      <c r="R101" s="77">
        <f t="shared" si="18"/>
        <v>96</v>
      </c>
      <c r="S101" s="80">
        <f t="shared" si="19"/>
      </c>
      <c r="T101" s="77">
        <f t="shared" si="20"/>
      </c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</row>
    <row r="102" spans="1:33" ht="12.75" hidden="1">
      <c r="A102" s="76" t="str">
        <f t="shared" si="21"/>
        <v>D2-SPECIALISTA TECNICO/AMMINISTRATIVO</v>
      </c>
      <c r="B102" s="81" t="str">
        <f t="shared" si="14"/>
        <v>7-D2</v>
      </c>
      <c r="C102" s="81">
        <f>COUNTIF($B$6:B102,"="&amp;B102)</f>
        <v>1</v>
      </c>
      <c r="D102" s="81" t="str">
        <f t="shared" si="15"/>
        <v>1-7-D2</v>
      </c>
      <c r="E102" s="76" t="str">
        <f t="shared" si="22"/>
        <v>SPECIALISTA TECNICO/AMMINISTRATIVO-Ex profilo non previsto</v>
      </c>
      <c r="F102" s="76" t="str">
        <f t="shared" si="16"/>
        <v>SPECIALISTA TECNICO/AMMINISTRATIVO-D2-Ex profilo non previsto</v>
      </c>
      <c r="G102" s="76" t="str">
        <f t="shared" si="23"/>
        <v>7-SPECIALISTA TECNICO/AMMINISTRATIVO-D2</v>
      </c>
      <c r="H102" s="76" t="str">
        <f t="shared" si="24"/>
        <v>D2-SPECIALISTA TECNICO/AMMINISTRATIVO-1-7-D2</v>
      </c>
      <c r="I102" s="76">
        <f t="shared" si="17"/>
        <v>42</v>
      </c>
      <c r="J102" s="76">
        <f>COUNTIF($A$6:A102,"="&amp;A102)</f>
        <v>7</v>
      </c>
      <c r="K102" s="76" t="str">
        <f>EDR1!D132</f>
        <v>SPECIALISTA TECNICO/AMMINISTRATIVO</v>
      </c>
      <c r="L102" s="76" t="str">
        <f>EDR1!C132</f>
        <v>D2</v>
      </c>
      <c r="M102" s="76" t="str">
        <f>EDR1!E132</f>
        <v>Ex profilo non previsto</v>
      </c>
      <c r="N102" s="76"/>
      <c r="O102" s="76"/>
      <c r="P102" s="82">
        <f>VLOOKUP(L102&amp;$K$2&amp;K102&amp;$K$2&amp;M102,EDR1!$A$36:$Q$268,16,FALSE)</f>
        <v>30</v>
      </c>
      <c r="Q102" s="82">
        <f>VLOOKUP(L102&amp;$K$2&amp;K102&amp;$K$2&amp;M102,EDR1!$A$36:$Q$268,17,FALSE)</f>
        <v>65</v>
      </c>
      <c r="R102" s="77">
        <f t="shared" si="18"/>
        <v>97</v>
      </c>
      <c r="S102" s="80">
        <f t="shared" si="19"/>
      </c>
      <c r="T102" s="77">
        <f t="shared" si="20"/>
      </c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</row>
    <row r="103" spans="1:33" ht="12.75" hidden="1">
      <c r="A103" s="76" t="str">
        <f t="shared" si="21"/>
        <v>D2- SPECIALISTA TECNICO COMMERCIALE</v>
      </c>
      <c r="B103" s="81" t="str">
        <f t="shared" si="14"/>
        <v>1-D2</v>
      </c>
      <c r="C103" s="81">
        <f>COUNTIF($B$6:B103,"="&amp;B103)</f>
        <v>12</v>
      </c>
      <c r="D103" s="81" t="str">
        <f t="shared" si="15"/>
        <v>12-1-D2</v>
      </c>
      <c r="E103" s="76" t="str">
        <f t="shared" si="22"/>
        <v> SPECIALISTA TECNICO COMMERCIALE-Capo Gestione (par. 156)</v>
      </c>
      <c r="F103" s="76" t="str">
        <f t="shared" si="16"/>
        <v> SPECIALISTA TECNICO COMMERCIALE-D2-Capo Gestione (par. 156)</v>
      </c>
      <c r="G103" s="76" t="str">
        <f t="shared" si="23"/>
        <v>1- SPECIALISTA TECNICO COMMERCIALE-D2</v>
      </c>
      <c r="H103" s="76" t="str">
        <f t="shared" si="24"/>
        <v>D2- SPECIALISTA TECNICO COMMERCIALE-12-1-D2</v>
      </c>
      <c r="I103" s="76">
        <f t="shared" si="17"/>
        <v>43</v>
      </c>
      <c r="J103" s="76">
        <f>COUNTIF($A$6:A103,"="&amp;A103)</f>
        <v>1</v>
      </c>
      <c r="K103" s="76" t="str">
        <f>EDR1!D133</f>
        <v> SPECIALISTA TECNICO COMMERCIALE</v>
      </c>
      <c r="L103" s="76" t="str">
        <f>EDR1!C133</f>
        <v>D2</v>
      </c>
      <c r="M103" s="76" t="str">
        <f>EDR1!E133</f>
        <v>Capo Gestione (par. 156)</v>
      </c>
      <c r="N103" s="76"/>
      <c r="O103" s="76"/>
      <c r="P103" s="82">
        <f>VLOOKUP(L103&amp;$K$2&amp;K103&amp;$K$2&amp;M103,EDR1!$A$36:$Q$268,16,FALSE)</f>
        <v>30</v>
      </c>
      <c r="Q103" s="82">
        <f>VLOOKUP(L103&amp;$K$2&amp;K103&amp;$K$2&amp;M103,EDR1!$A$36:$Q$268,17,FALSE)</f>
        <v>65</v>
      </c>
      <c r="R103" s="77">
        <f t="shared" si="18"/>
        <v>98</v>
      </c>
      <c r="S103" s="80">
        <f t="shared" si="19"/>
      </c>
      <c r="T103" s="77">
        <f t="shared" si="20"/>
      </c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</row>
    <row r="104" spans="1:33" ht="12.75" hidden="1">
      <c r="A104" s="76" t="str">
        <f t="shared" si="21"/>
        <v>D2- SPECIALISTA TECNICO COMMERCIALE</v>
      </c>
      <c r="B104" s="81" t="str">
        <f t="shared" si="14"/>
        <v>2-D2</v>
      </c>
      <c r="C104" s="81">
        <f>COUNTIF($B$6:B104,"="&amp;B104)</f>
        <v>10</v>
      </c>
      <c r="D104" s="81" t="str">
        <f t="shared" si="15"/>
        <v>10-2-D2</v>
      </c>
      <c r="E104" s="76" t="str">
        <f t="shared" si="22"/>
        <v> SPECIALISTA TECNICO COMMERCIALE-Capo Gestione (par. 167)</v>
      </c>
      <c r="F104" s="76" t="str">
        <f t="shared" si="16"/>
        <v> SPECIALISTA TECNICO COMMERCIALE-D2-Capo Gestione (par. 167)</v>
      </c>
      <c r="G104" s="76" t="str">
        <f t="shared" si="23"/>
        <v>2- SPECIALISTA TECNICO COMMERCIALE-D2</v>
      </c>
      <c r="H104" s="76" t="str">
        <f t="shared" si="24"/>
        <v>D2- SPECIALISTA TECNICO COMMERCIALE-10-2-D2</v>
      </c>
      <c r="I104" s="76">
        <f t="shared" si="17"/>
        <v>43</v>
      </c>
      <c r="J104" s="76">
        <f>COUNTIF($A$6:A104,"="&amp;A104)</f>
        <v>2</v>
      </c>
      <c r="K104" s="76" t="str">
        <f>EDR1!D134</f>
        <v> SPECIALISTA TECNICO COMMERCIALE</v>
      </c>
      <c r="L104" s="76" t="str">
        <f>EDR1!C134</f>
        <v>D2</v>
      </c>
      <c r="M104" s="76" t="str">
        <f>EDR1!E134</f>
        <v>Capo Gestione (par. 167)</v>
      </c>
      <c r="N104" s="76"/>
      <c r="O104" s="76"/>
      <c r="P104" s="82">
        <f>VLOOKUP(L104&amp;$K$2&amp;K104&amp;$K$2&amp;M104,EDR1!$A$36:$Q$268,16,FALSE)</f>
        <v>30</v>
      </c>
      <c r="Q104" s="82">
        <f>VLOOKUP(L104&amp;$K$2&amp;K104&amp;$K$2&amp;M104,EDR1!$A$36:$Q$268,17,FALSE)</f>
        <v>65</v>
      </c>
      <c r="R104" s="77">
        <f t="shared" si="18"/>
        <v>99</v>
      </c>
      <c r="S104" s="80">
        <f t="shared" si="19"/>
      </c>
      <c r="T104" s="77">
        <f t="shared" si="20"/>
      </c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</row>
    <row r="105" spans="1:33" ht="12.75" hidden="1">
      <c r="A105" s="76" t="str">
        <f t="shared" si="21"/>
        <v>D2- SPECIALISTA TECNICO COMMERCIALE</v>
      </c>
      <c r="B105" s="81" t="str">
        <f t="shared" si="14"/>
        <v>3-D2</v>
      </c>
      <c r="C105" s="81">
        <f>COUNTIF($B$6:B105,"="&amp;B105)</f>
        <v>3</v>
      </c>
      <c r="D105" s="81" t="str">
        <f t="shared" si="15"/>
        <v>3-3-D2</v>
      </c>
      <c r="E105" s="76" t="str">
        <f t="shared" si="22"/>
        <v> SPECIALISTA TECNICO COMMERCIALE-Ex profilo non previsto</v>
      </c>
      <c r="F105" s="76" t="str">
        <f t="shared" si="16"/>
        <v> SPECIALISTA TECNICO COMMERCIALE-D2-Ex profilo non previsto</v>
      </c>
      <c r="G105" s="76" t="str">
        <f t="shared" si="23"/>
        <v>3- SPECIALISTA TECNICO COMMERCIALE-D2</v>
      </c>
      <c r="H105" s="76" t="str">
        <f t="shared" si="24"/>
        <v>D2- SPECIALISTA TECNICO COMMERCIALE-3-3-D2</v>
      </c>
      <c r="I105" s="76">
        <f t="shared" si="17"/>
        <v>43</v>
      </c>
      <c r="J105" s="76">
        <f>COUNTIF($A$6:A105,"="&amp;A105)</f>
        <v>3</v>
      </c>
      <c r="K105" s="76" t="str">
        <f>EDR1!D135</f>
        <v> SPECIALISTA TECNICO COMMERCIALE</v>
      </c>
      <c r="L105" s="76" t="str">
        <f>EDR1!C135</f>
        <v>D2</v>
      </c>
      <c r="M105" s="76" t="str">
        <f>EDR1!E135</f>
        <v>Ex profilo non previsto</v>
      </c>
      <c r="N105" s="76"/>
      <c r="O105" s="76"/>
      <c r="P105" s="82">
        <f>VLOOKUP(L105&amp;$K$2&amp;K105&amp;$K$2&amp;M105,EDR1!$A$36:$Q$268,16,FALSE)</f>
        <v>30</v>
      </c>
      <c r="Q105" s="82">
        <f>VLOOKUP(L105&amp;$K$2&amp;K105&amp;$K$2&amp;M105,EDR1!$A$36:$Q$268,17,FALSE)</f>
        <v>65</v>
      </c>
      <c r="R105" s="77">
        <f t="shared" si="18"/>
        <v>100</v>
      </c>
      <c r="S105" s="80">
        <f t="shared" si="19"/>
      </c>
      <c r="T105" s="77">
        <f t="shared" si="20"/>
      </c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</row>
    <row r="106" spans="1:33" ht="12.75" hidden="1">
      <c r="A106" s="76" t="str">
        <f t="shared" si="21"/>
        <v>D2-TECNICO SANITARIO</v>
      </c>
      <c r="B106" s="81" t="str">
        <f t="shared" si="14"/>
        <v>1-D2</v>
      </c>
      <c r="C106" s="81">
        <f>COUNTIF($B$6:B106,"="&amp;B106)</f>
        <v>13</v>
      </c>
      <c r="D106" s="81" t="str">
        <f t="shared" si="15"/>
        <v>13-1-D2</v>
      </c>
      <c r="E106" s="76" t="str">
        <f t="shared" si="22"/>
        <v>TECNICO SANITARIO-Tecnico Sanitario (par. 156)</v>
      </c>
      <c r="F106" s="76" t="str">
        <f t="shared" si="16"/>
        <v>TECNICO SANITARIO-D2-Tecnico Sanitario (par. 156)</v>
      </c>
      <c r="G106" s="76" t="str">
        <f t="shared" si="23"/>
        <v>1-TECNICO SANITARIO-D2</v>
      </c>
      <c r="H106" s="76" t="str">
        <f t="shared" si="24"/>
        <v>D2-TECNICO SANITARIO-13-1-D2</v>
      </c>
      <c r="I106" s="76">
        <f t="shared" si="17"/>
        <v>44</v>
      </c>
      <c r="J106" s="76">
        <f>COUNTIF($A$6:A106,"="&amp;A106)</f>
        <v>1</v>
      </c>
      <c r="K106" s="76" t="str">
        <f>EDR1!D136</f>
        <v>TECNICO SANITARIO</v>
      </c>
      <c r="L106" s="76" t="str">
        <f>EDR1!C136</f>
        <v>D2</v>
      </c>
      <c r="M106" s="76" t="str">
        <f>EDR1!E136</f>
        <v>Tecnico Sanitario (par. 156)</v>
      </c>
      <c r="N106" s="76"/>
      <c r="O106" s="76"/>
      <c r="P106" s="82">
        <f>VLOOKUP(L106&amp;$K$2&amp;K106&amp;$K$2&amp;M106,EDR1!$A$36:$Q$268,16,FALSE)</f>
        <v>30</v>
      </c>
      <c r="Q106" s="82">
        <f>VLOOKUP(L106&amp;$K$2&amp;K106&amp;$K$2&amp;M106,EDR1!$A$36:$Q$268,17,FALSE)</f>
        <v>65</v>
      </c>
      <c r="R106" s="77">
        <f t="shared" si="18"/>
        <v>101</v>
      </c>
      <c r="S106" s="80">
        <f t="shared" si="19"/>
      </c>
      <c r="T106" s="77">
        <f t="shared" si="20"/>
      </c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</row>
    <row r="107" spans="1:33" ht="12.75" hidden="1">
      <c r="A107" s="76" t="str">
        <f t="shared" si="21"/>
        <v>D2-TECNICO SANITARIO</v>
      </c>
      <c r="B107" s="81" t="str">
        <f t="shared" si="14"/>
        <v>2-D2</v>
      </c>
      <c r="C107" s="81">
        <f>COUNTIF($B$6:B107,"="&amp;B107)</f>
        <v>11</v>
      </c>
      <c r="D107" s="81" t="str">
        <f t="shared" si="15"/>
        <v>11-2-D2</v>
      </c>
      <c r="E107" s="76" t="str">
        <f t="shared" si="22"/>
        <v>TECNICO SANITARIO-Tecnico Sanitario (par. 167)</v>
      </c>
      <c r="F107" s="76" t="str">
        <f t="shared" si="16"/>
        <v>TECNICO SANITARIO-D2-Tecnico Sanitario (par. 167)</v>
      </c>
      <c r="G107" s="76" t="str">
        <f t="shared" si="23"/>
        <v>2-TECNICO SANITARIO-D2</v>
      </c>
      <c r="H107" s="76" t="str">
        <f t="shared" si="24"/>
        <v>D2-TECNICO SANITARIO-11-2-D2</v>
      </c>
      <c r="I107" s="76">
        <f t="shared" si="17"/>
        <v>44</v>
      </c>
      <c r="J107" s="76">
        <f>COUNTIF($A$6:A107,"="&amp;A107)</f>
        <v>2</v>
      </c>
      <c r="K107" s="76" t="str">
        <f>EDR1!D137</f>
        <v>TECNICO SANITARIO</v>
      </c>
      <c r="L107" s="76" t="str">
        <f>EDR1!C137</f>
        <v>D2</v>
      </c>
      <c r="M107" s="76" t="str">
        <f>EDR1!E137</f>
        <v>Tecnico Sanitario (par. 167)</v>
      </c>
      <c r="N107" s="76"/>
      <c r="O107" s="76"/>
      <c r="P107" s="82">
        <f>VLOOKUP(L107&amp;$K$2&amp;K107&amp;$K$2&amp;M107,EDR1!$A$36:$Q$268,16,FALSE)</f>
        <v>30</v>
      </c>
      <c r="Q107" s="82">
        <f>VLOOKUP(L107&amp;$K$2&amp;K107&amp;$K$2&amp;M107,EDR1!$A$36:$Q$268,17,FALSE)</f>
        <v>65</v>
      </c>
      <c r="R107" s="77">
        <f t="shared" si="18"/>
        <v>102</v>
      </c>
      <c r="S107" s="80">
        <f t="shared" si="19"/>
      </c>
      <c r="T107" s="77">
        <f t="shared" si="20"/>
      </c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</row>
    <row r="108" spans="1:33" ht="12.75" hidden="1">
      <c r="A108" s="76" t="str">
        <f t="shared" si="21"/>
        <v>E-CARPENTIERE</v>
      </c>
      <c r="B108" s="81" t="str">
        <f t="shared" si="14"/>
        <v>1-E</v>
      </c>
      <c r="C108" s="81">
        <f>COUNTIF($B$6:B108,"="&amp;B108)</f>
        <v>1</v>
      </c>
      <c r="D108" s="81" t="str">
        <f t="shared" si="15"/>
        <v>1-1-E</v>
      </c>
      <c r="E108" s="76" t="str">
        <f t="shared" si="22"/>
        <v>CARPENTIERE-Carpentiere</v>
      </c>
      <c r="F108" s="76" t="str">
        <f t="shared" si="16"/>
        <v>CARPENTIERE-E-Carpentiere</v>
      </c>
      <c r="G108" s="76" t="str">
        <f t="shared" si="23"/>
        <v>1-CARPENTIERE-E</v>
      </c>
      <c r="H108" s="76" t="str">
        <f t="shared" si="24"/>
        <v>E-CARPENTIERE-1-1-E</v>
      </c>
      <c r="I108" s="76">
        <f t="shared" si="17"/>
        <v>45</v>
      </c>
      <c r="J108" s="76">
        <f>COUNTIF($A$6:A108,"="&amp;A108)</f>
        <v>1</v>
      </c>
      <c r="K108" s="76" t="str">
        <f>EDR1!D138</f>
        <v>CARPENTIERE</v>
      </c>
      <c r="L108" s="76" t="str">
        <f>EDR1!C138</f>
        <v>E</v>
      </c>
      <c r="M108" s="76" t="str">
        <f>EDR1!E138</f>
        <v>Carpentiere</v>
      </c>
      <c r="N108" s="76"/>
      <c r="O108" s="76"/>
      <c r="P108" s="82">
        <f>VLOOKUP(L108&amp;$K$2&amp;K108&amp;$K$2&amp;M108,EDR1!$A$36:$Q$268,16,FALSE)</f>
        <v>25</v>
      </c>
      <c r="Q108" s="82">
        <f>VLOOKUP(L108&amp;$K$2&amp;K108&amp;$K$2&amp;M108,EDR1!$A$36:$Q$268,17,FALSE)</f>
        <v>58</v>
      </c>
      <c r="R108" s="77">
        <f t="shared" si="18"/>
        <v>103</v>
      </c>
      <c r="S108" s="80">
        <f t="shared" si="19"/>
      </c>
      <c r="T108" s="77">
        <f t="shared" si="20"/>
      </c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</row>
    <row r="109" spans="1:33" ht="12.75" hidden="1">
      <c r="A109" s="76" t="str">
        <f t="shared" si="21"/>
        <v>E-ELETTRICISTA</v>
      </c>
      <c r="B109" s="81" t="str">
        <f t="shared" si="14"/>
        <v>1-E</v>
      </c>
      <c r="C109" s="81">
        <f>COUNTIF($B$6:B109,"="&amp;B109)</f>
        <v>2</v>
      </c>
      <c r="D109" s="81" t="str">
        <f t="shared" si="15"/>
        <v>2-1-E</v>
      </c>
      <c r="E109" s="76" t="str">
        <f t="shared" si="22"/>
        <v>ELETTRICISTA-Elettricista</v>
      </c>
      <c r="F109" s="76" t="str">
        <f t="shared" si="16"/>
        <v>ELETTRICISTA-E-Elettricista</v>
      </c>
      <c r="G109" s="76" t="str">
        <f t="shared" si="23"/>
        <v>1-ELETTRICISTA-E</v>
      </c>
      <c r="H109" s="76" t="str">
        <f t="shared" si="24"/>
        <v>E-ELETTRICISTA-2-1-E</v>
      </c>
      <c r="I109" s="76">
        <f t="shared" si="17"/>
        <v>46</v>
      </c>
      <c r="J109" s="76">
        <f>COUNTIF($A$6:A109,"="&amp;A109)</f>
        <v>1</v>
      </c>
      <c r="K109" s="76" t="str">
        <f>EDR1!D139</f>
        <v>ELETTRICISTA</v>
      </c>
      <c r="L109" s="76" t="str">
        <f>EDR1!C139</f>
        <v>E</v>
      </c>
      <c r="M109" s="76" t="str">
        <f>EDR1!E139</f>
        <v>Elettricista</v>
      </c>
      <c r="N109" s="76"/>
      <c r="O109" s="76"/>
      <c r="P109" s="82">
        <f>VLOOKUP(L109&amp;$K$2&amp;K109&amp;$K$2&amp;M109,EDR1!$A$36:$Q$268,16,FALSE)</f>
        <v>25</v>
      </c>
      <c r="Q109" s="82">
        <f>VLOOKUP(L109&amp;$K$2&amp;K109&amp;$K$2&amp;M109,EDR1!$A$36:$Q$268,17,FALSE)</f>
        <v>58</v>
      </c>
      <c r="R109" s="77">
        <f t="shared" si="18"/>
        <v>104</v>
      </c>
      <c r="S109" s="80">
        <f t="shared" si="19"/>
      </c>
      <c r="T109" s="77">
        <f t="shared" si="20"/>
      </c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</row>
    <row r="110" spans="1:33" ht="12.75" hidden="1">
      <c r="A110" s="76" t="str">
        <f t="shared" si="21"/>
        <v>E-MOTORISTA</v>
      </c>
      <c r="B110" s="81" t="str">
        <f t="shared" si="14"/>
        <v>1-E</v>
      </c>
      <c r="C110" s="81">
        <f>COUNTIF($B$6:B110,"="&amp;B110)</f>
        <v>3</v>
      </c>
      <c r="D110" s="81" t="str">
        <f t="shared" si="15"/>
        <v>3-1-E</v>
      </c>
      <c r="E110" s="76" t="str">
        <f t="shared" si="22"/>
        <v>MOTORISTA-Motorista</v>
      </c>
      <c r="F110" s="76" t="str">
        <f t="shared" si="16"/>
        <v>MOTORISTA-E-Motorista</v>
      </c>
      <c r="G110" s="76" t="str">
        <f t="shared" si="23"/>
        <v>1-MOTORISTA-E</v>
      </c>
      <c r="H110" s="76" t="str">
        <f t="shared" si="24"/>
        <v>E-MOTORISTA-3-1-E</v>
      </c>
      <c r="I110" s="76">
        <f t="shared" si="17"/>
        <v>47</v>
      </c>
      <c r="J110" s="76">
        <f>COUNTIF($A$6:A110,"="&amp;A110)</f>
        <v>1</v>
      </c>
      <c r="K110" s="76" t="str">
        <f>EDR1!D140</f>
        <v>MOTORISTA</v>
      </c>
      <c r="L110" s="76" t="str">
        <f>EDR1!C140</f>
        <v>E</v>
      </c>
      <c r="M110" s="76" t="str">
        <f>EDR1!E140</f>
        <v>Motorista</v>
      </c>
      <c r="N110" s="76"/>
      <c r="O110" s="76"/>
      <c r="P110" s="82">
        <f>VLOOKUP(L110&amp;$K$2&amp;K110&amp;$K$2&amp;M110,EDR1!$A$36:$Q$268,16,FALSE)</f>
        <v>25</v>
      </c>
      <c r="Q110" s="82">
        <f>VLOOKUP(L110&amp;$K$2&amp;K110&amp;$K$2&amp;M110,EDR1!$A$36:$Q$268,17,FALSE)</f>
        <v>58</v>
      </c>
      <c r="R110" s="77">
        <f t="shared" si="18"/>
        <v>105</v>
      </c>
      <c r="S110" s="80">
        <f t="shared" si="19"/>
      </c>
      <c r="T110" s="77">
        <f t="shared" si="20"/>
      </c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</row>
    <row r="111" spans="1:33" ht="12.75" hidden="1">
      <c r="A111" s="76" t="str">
        <f t="shared" si="21"/>
        <v>E-OPERAIO DI COPERTA</v>
      </c>
      <c r="B111" s="81" t="str">
        <f t="shared" si="14"/>
        <v>1-E</v>
      </c>
      <c r="C111" s="81">
        <f>COUNTIF($B$6:B111,"="&amp;B111)</f>
        <v>4</v>
      </c>
      <c r="D111" s="81" t="str">
        <f t="shared" si="15"/>
        <v>4-1-E</v>
      </c>
      <c r="E111" s="76" t="str">
        <f t="shared" si="22"/>
        <v>OPERAIO DI COPERTA-Operaio di Coperta</v>
      </c>
      <c r="F111" s="76" t="str">
        <f t="shared" si="16"/>
        <v>OPERAIO DI COPERTA-E-Operaio di Coperta</v>
      </c>
      <c r="G111" s="76" t="str">
        <f t="shared" si="23"/>
        <v>1-OPERAIO DI COPERTA-E</v>
      </c>
      <c r="H111" s="76" t="str">
        <f t="shared" si="24"/>
        <v>E-OPERAIO DI COPERTA-4-1-E</v>
      </c>
      <c r="I111" s="76">
        <f t="shared" si="17"/>
        <v>48</v>
      </c>
      <c r="J111" s="76">
        <f>COUNTIF($A$6:A111,"="&amp;A111)</f>
        <v>1</v>
      </c>
      <c r="K111" s="76" t="str">
        <f>EDR1!D141</f>
        <v>OPERAIO DI COPERTA</v>
      </c>
      <c r="L111" s="76" t="str">
        <f>EDR1!C141</f>
        <v>E</v>
      </c>
      <c r="M111" s="76" t="str">
        <f>EDR1!E141</f>
        <v>Operaio di Coperta</v>
      </c>
      <c r="N111" s="76"/>
      <c r="O111" s="76"/>
      <c r="P111" s="82">
        <f>VLOOKUP(L111&amp;$K$2&amp;K111&amp;$K$2&amp;M111,EDR1!$A$36:$Q$268,16,FALSE)</f>
        <v>25</v>
      </c>
      <c r="Q111" s="82">
        <f>VLOOKUP(L111&amp;$K$2&amp;K111&amp;$K$2&amp;M111,EDR1!$A$36:$Q$268,17,FALSE)</f>
        <v>58</v>
      </c>
      <c r="R111" s="77">
        <f t="shared" si="18"/>
        <v>106</v>
      </c>
      <c r="S111" s="80">
        <f t="shared" si="19"/>
      </c>
      <c r="T111" s="77">
        <f t="shared" si="20"/>
      </c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</row>
    <row r="112" spans="1:33" ht="12.75" hidden="1">
      <c r="A112" s="76" t="str">
        <f t="shared" si="21"/>
        <v>E-TECNICO CIRCOLAZIONE</v>
      </c>
      <c r="B112" s="81" t="str">
        <f t="shared" si="14"/>
        <v>1-E</v>
      </c>
      <c r="C112" s="81">
        <f>COUNTIF($B$6:B112,"="&amp;B112)</f>
        <v>5</v>
      </c>
      <c r="D112" s="81" t="str">
        <f t="shared" si="15"/>
        <v>5-1-E</v>
      </c>
      <c r="E112" s="76" t="str">
        <f t="shared" si="22"/>
        <v>TECNICO CIRCOLAZIONE-1° Tecnico della Manovra</v>
      </c>
      <c r="F112" s="76" t="str">
        <f t="shared" si="16"/>
        <v>TECNICO CIRCOLAZIONE-E-1° Tecnico della Manovra</v>
      </c>
      <c r="G112" s="76" t="str">
        <f t="shared" si="23"/>
        <v>1-TECNICO CIRCOLAZIONE-E</v>
      </c>
      <c r="H112" s="76" t="str">
        <f t="shared" si="24"/>
        <v>E-TECNICO CIRCOLAZIONE-5-1-E</v>
      </c>
      <c r="I112" s="76">
        <f t="shared" si="17"/>
        <v>49</v>
      </c>
      <c r="J112" s="76">
        <f>COUNTIF($A$6:A112,"="&amp;A112)</f>
        <v>1</v>
      </c>
      <c r="K112" s="76" t="str">
        <f>EDR1!D142</f>
        <v>TECNICO CIRCOLAZIONE</v>
      </c>
      <c r="L112" s="76" t="str">
        <f>EDR1!C142</f>
        <v>E</v>
      </c>
      <c r="M112" s="76" t="str">
        <f>EDR1!E142</f>
        <v>1° Tecnico della Manovra</v>
      </c>
      <c r="N112" s="76"/>
      <c r="O112" s="76"/>
      <c r="P112" s="82">
        <f>VLOOKUP(L112&amp;$K$2&amp;K112&amp;$K$2&amp;M112,EDR1!$A$36:$Q$268,16,FALSE)</f>
        <v>25</v>
      </c>
      <c r="Q112" s="82">
        <f>VLOOKUP(L112&amp;$K$2&amp;K112&amp;$K$2&amp;M112,EDR1!$A$36:$Q$268,17,FALSE)</f>
        <v>58</v>
      </c>
      <c r="R112" s="77">
        <f t="shared" si="18"/>
        <v>107</v>
      </c>
      <c r="S112" s="80">
        <f t="shared" si="19"/>
      </c>
      <c r="T112" s="77">
        <f t="shared" si="20"/>
      </c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</row>
    <row r="113" spans="1:33" ht="12.75" hidden="1">
      <c r="A113" s="76" t="str">
        <f t="shared" si="21"/>
        <v>E-TECNICO CIRCOLAZIONE</v>
      </c>
      <c r="B113" s="81" t="str">
        <f t="shared" si="14"/>
        <v>2-E</v>
      </c>
      <c r="C113" s="81">
        <f>COUNTIF($B$6:B113,"="&amp;B113)</f>
        <v>1</v>
      </c>
      <c r="D113" s="81" t="str">
        <f t="shared" si="15"/>
        <v>1-2-E</v>
      </c>
      <c r="E113" s="76" t="str">
        <f t="shared" si="22"/>
        <v>TECNICO CIRCOLAZIONE-1° Tecnico Deviatore</v>
      </c>
      <c r="F113" s="76" t="str">
        <f t="shared" si="16"/>
        <v>TECNICO CIRCOLAZIONE-E-1° Tecnico Deviatore</v>
      </c>
      <c r="G113" s="76" t="str">
        <f t="shared" si="23"/>
        <v>2-TECNICO CIRCOLAZIONE-E</v>
      </c>
      <c r="H113" s="76" t="str">
        <f t="shared" si="24"/>
        <v>E-TECNICO CIRCOLAZIONE-1-2-E</v>
      </c>
      <c r="I113" s="76">
        <f t="shared" si="17"/>
        <v>49</v>
      </c>
      <c r="J113" s="76">
        <f>COUNTIF($A$6:A113,"="&amp;A113)</f>
        <v>2</v>
      </c>
      <c r="K113" s="76" t="str">
        <f>EDR1!D143</f>
        <v>TECNICO CIRCOLAZIONE</v>
      </c>
      <c r="L113" s="76" t="str">
        <f>EDR1!C143</f>
        <v>E</v>
      </c>
      <c r="M113" s="76" t="str">
        <f>EDR1!E143</f>
        <v>1° Tecnico Deviatore</v>
      </c>
      <c r="N113" s="76"/>
      <c r="O113" s="76"/>
      <c r="P113" s="82">
        <f>VLOOKUP(L113&amp;$K$2&amp;K113&amp;$K$2&amp;M113,EDR1!$A$36:$Q$268,16,FALSE)</f>
        <v>25</v>
      </c>
      <c r="Q113" s="82">
        <f>VLOOKUP(L113&amp;$K$2&amp;K113&amp;$K$2&amp;M113,EDR1!$A$36:$Q$268,17,FALSE)</f>
        <v>65</v>
      </c>
      <c r="R113" s="77">
        <f t="shared" si="18"/>
        <v>108</v>
      </c>
      <c r="S113" s="80">
        <f t="shared" si="19"/>
      </c>
      <c r="T113" s="77">
        <f t="shared" si="20"/>
      </c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</row>
    <row r="114" spans="1:33" ht="12.75" hidden="1">
      <c r="A114" s="76" t="str">
        <f t="shared" si="21"/>
        <v>E-TECNICO CIRCOLAZIONE</v>
      </c>
      <c r="B114" s="81" t="str">
        <f t="shared" si="14"/>
        <v>3-E</v>
      </c>
      <c r="C114" s="81">
        <f>COUNTIF($B$6:B114,"="&amp;B114)</f>
        <v>1</v>
      </c>
      <c r="D114" s="81" t="str">
        <f t="shared" si="15"/>
        <v>1-3-E</v>
      </c>
      <c r="E114" s="76" t="str">
        <f t="shared" si="22"/>
        <v>TECNICO CIRCOLAZIONE-1° Tecnico di Stazione</v>
      </c>
      <c r="F114" s="76" t="str">
        <f t="shared" si="16"/>
        <v>TECNICO CIRCOLAZIONE-E-1° Tecnico di Stazione</v>
      </c>
      <c r="G114" s="76" t="str">
        <f t="shared" si="23"/>
        <v>3-TECNICO CIRCOLAZIONE-E</v>
      </c>
      <c r="H114" s="76" t="str">
        <f t="shared" si="24"/>
        <v>E-TECNICO CIRCOLAZIONE-1-3-E</v>
      </c>
      <c r="I114" s="76">
        <f t="shared" si="17"/>
        <v>49</v>
      </c>
      <c r="J114" s="76">
        <f>COUNTIF($A$6:A114,"="&amp;A114)</f>
        <v>3</v>
      </c>
      <c r="K114" s="76" t="str">
        <f>EDR1!D144</f>
        <v>TECNICO CIRCOLAZIONE</v>
      </c>
      <c r="L114" s="76" t="str">
        <f>EDR1!C144</f>
        <v>E</v>
      </c>
      <c r="M114" s="76" t="str">
        <f>EDR1!E144</f>
        <v>1° Tecnico di Stazione</v>
      </c>
      <c r="N114" s="76"/>
      <c r="O114" s="76"/>
      <c r="P114" s="82">
        <f>VLOOKUP(L114&amp;$K$2&amp;K114&amp;$K$2&amp;M114,EDR1!$A$36:$Q$268,16,FALSE)</f>
        <v>30</v>
      </c>
      <c r="Q114" s="82">
        <f>VLOOKUP(L114&amp;$K$2&amp;K114&amp;$K$2&amp;M114,EDR1!$A$36:$Q$268,17,FALSE)</f>
        <v>65</v>
      </c>
      <c r="R114" s="77">
        <f t="shared" si="18"/>
        <v>109</v>
      </c>
      <c r="S114" s="80">
        <f t="shared" si="19"/>
      </c>
      <c r="T114" s="77">
        <f t="shared" si="20"/>
      </c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</row>
    <row r="115" spans="1:33" ht="12.75" hidden="1">
      <c r="A115" s="76" t="str">
        <f t="shared" si="21"/>
        <v>E-TECNICO CIRCOLAZIONE</v>
      </c>
      <c r="B115" s="81" t="str">
        <f t="shared" si="14"/>
        <v>4-E</v>
      </c>
      <c r="C115" s="81">
        <f>COUNTIF($B$6:B115,"="&amp;B115)</f>
        <v>1</v>
      </c>
      <c r="D115" s="81" t="str">
        <f t="shared" si="15"/>
        <v>1-4-E</v>
      </c>
      <c r="E115" s="76" t="str">
        <f t="shared" si="22"/>
        <v>TECNICO CIRCOLAZIONE-Ex profilo non previsto</v>
      </c>
      <c r="F115" s="76" t="str">
        <f t="shared" si="16"/>
        <v>TECNICO CIRCOLAZIONE-E-Ex profilo non previsto</v>
      </c>
      <c r="G115" s="76" t="str">
        <f t="shared" si="23"/>
        <v>4-TECNICO CIRCOLAZIONE-E</v>
      </c>
      <c r="H115" s="76" t="str">
        <f t="shared" si="24"/>
        <v>E-TECNICO CIRCOLAZIONE-1-4-E</v>
      </c>
      <c r="I115" s="76">
        <f t="shared" si="17"/>
        <v>49</v>
      </c>
      <c r="J115" s="76">
        <f>COUNTIF($A$6:A115,"="&amp;A115)</f>
        <v>4</v>
      </c>
      <c r="K115" s="76" t="str">
        <f>EDR1!D145</f>
        <v>TECNICO CIRCOLAZIONE</v>
      </c>
      <c r="L115" s="76" t="str">
        <f>EDR1!C145</f>
        <v>E</v>
      </c>
      <c r="M115" s="76" t="str">
        <f>EDR1!E145</f>
        <v>Ex profilo non previsto</v>
      </c>
      <c r="N115" s="76"/>
      <c r="O115" s="76"/>
      <c r="P115" s="82">
        <f>VLOOKUP(L115&amp;$K$2&amp;K115&amp;$K$2&amp;M115,EDR1!$A$36:$Q$268,16,FALSE)</f>
        <v>30</v>
      </c>
      <c r="Q115" s="82">
        <f>VLOOKUP(L115&amp;$K$2&amp;K115&amp;$K$2&amp;M115,EDR1!$A$36:$Q$268,17,FALSE)</f>
        <v>65</v>
      </c>
      <c r="R115" s="77">
        <f t="shared" si="18"/>
        <v>110</v>
      </c>
      <c r="S115" s="80">
        <f t="shared" si="19"/>
      </c>
      <c r="T115" s="77">
        <f t="shared" si="20"/>
      </c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</row>
    <row r="116" spans="1:33" ht="12.75" hidden="1">
      <c r="A116" s="76" t="str">
        <f t="shared" si="21"/>
        <v>E-TECNICO COMMERCIALE</v>
      </c>
      <c r="B116" s="81" t="str">
        <f t="shared" si="14"/>
        <v>1-E</v>
      </c>
      <c r="C116" s="81">
        <f>COUNTIF($B$6:B116,"="&amp;B116)</f>
        <v>6</v>
      </c>
      <c r="D116" s="81" t="str">
        <f t="shared" si="15"/>
        <v>6-1-E</v>
      </c>
      <c r="E116" s="76" t="str">
        <f t="shared" si="22"/>
        <v>TECNICO COMMERCIALE-Ex profilo non previsto</v>
      </c>
      <c r="F116" s="76" t="str">
        <f t="shared" si="16"/>
        <v>TECNICO COMMERCIALE-E-Ex profilo non previsto</v>
      </c>
      <c r="G116" s="76" t="str">
        <f t="shared" si="23"/>
        <v>1-TECNICO COMMERCIALE-E</v>
      </c>
      <c r="H116" s="76" t="str">
        <f t="shared" si="24"/>
        <v>E-TECNICO COMMERCIALE-6-1-E</v>
      </c>
      <c r="I116" s="76">
        <f t="shared" si="17"/>
        <v>50</v>
      </c>
      <c r="J116" s="76">
        <f>COUNTIF($A$6:A116,"="&amp;A116)</f>
        <v>1</v>
      </c>
      <c r="K116" s="76" t="str">
        <f>EDR1!D146</f>
        <v>TECNICO COMMERCIALE</v>
      </c>
      <c r="L116" s="76" t="str">
        <f>EDR1!C146</f>
        <v>E</v>
      </c>
      <c r="M116" s="76" t="str">
        <f>EDR1!E146</f>
        <v>Ex profilo non previsto</v>
      </c>
      <c r="N116" s="76"/>
      <c r="O116" s="76"/>
      <c r="P116" s="82">
        <f>VLOOKUP(L116&amp;$K$2&amp;K116&amp;$K$2&amp;M116,EDR1!$A$36:$Q$268,16,FALSE)</f>
        <v>30</v>
      </c>
      <c r="Q116" s="82">
        <f>VLOOKUP(L116&amp;$K$2&amp;K116&amp;$K$2&amp;M116,EDR1!$A$36:$Q$268,17,FALSE)</f>
        <v>65</v>
      </c>
      <c r="R116" s="77">
        <f t="shared" si="18"/>
        <v>111</v>
      </c>
      <c r="S116" s="80">
        <f t="shared" si="19"/>
      </c>
      <c r="T116" s="77">
        <f t="shared" si="20"/>
      </c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</row>
    <row r="117" spans="1:33" ht="12.75" hidden="1">
      <c r="A117" s="76" t="str">
        <f t="shared" si="21"/>
        <v>E-TECNICO DI MANOVRA E CONDOTTA</v>
      </c>
      <c r="B117" s="81" t="str">
        <f t="shared" si="14"/>
        <v>1-E</v>
      </c>
      <c r="C117" s="81">
        <f>COUNTIF($B$6:B117,"="&amp;B117)</f>
        <v>7</v>
      </c>
      <c r="D117" s="81" t="str">
        <f t="shared" si="15"/>
        <v>7-1-E</v>
      </c>
      <c r="E117" s="76" t="str">
        <f t="shared" si="22"/>
        <v>TECNICO DI MANOVRA E CONDOTTA-1° Tecnico della Manovra</v>
      </c>
      <c r="F117" s="76" t="str">
        <f t="shared" si="16"/>
        <v>TECNICO DI MANOVRA E CONDOTTA-E-1° Tecnico della Manovra</v>
      </c>
      <c r="G117" s="76" t="str">
        <f t="shared" si="23"/>
        <v>1-TECNICO DI MANOVRA E CONDOTTA-E</v>
      </c>
      <c r="H117" s="76" t="str">
        <f t="shared" si="24"/>
        <v>E-TECNICO DI MANOVRA E CONDOTTA-7-1-E</v>
      </c>
      <c r="I117" s="76">
        <f t="shared" si="17"/>
        <v>51</v>
      </c>
      <c r="J117" s="76">
        <f>COUNTIF($A$6:A117,"="&amp;A117)</f>
        <v>1</v>
      </c>
      <c r="K117" s="76" t="str">
        <f>EDR1!D147</f>
        <v>TECNICO DI MANOVRA E CONDOTTA</v>
      </c>
      <c r="L117" s="76" t="str">
        <f>EDR1!C147</f>
        <v>E</v>
      </c>
      <c r="M117" s="76" t="str">
        <f>EDR1!E147</f>
        <v>1° Tecnico della Manovra</v>
      </c>
      <c r="N117" s="76"/>
      <c r="O117" s="76"/>
      <c r="P117" s="82">
        <f>VLOOKUP(L117&amp;$K$2&amp;K117&amp;$K$2&amp;M117,EDR1!$A$36:$Q$268,16,FALSE)</f>
        <v>25</v>
      </c>
      <c r="Q117" s="82">
        <f>VLOOKUP(L117&amp;$K$2&amp;K117&amp;$K$2&amp;M117,EDR1!$A$36:$Q$268,17,FALSE)</f>
        <v>58</v>
      </c>
      <c r="R117" s="77">
        <f t="shared" si="18"/>
        <v>112</v>
      </c>
      <c r="S117" s="80">
        <f t="shared" si="19"/>
      </c>
      <c r="T117" s="77">
        <f t="shared" si="20"/>
      </c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</row>
    <row r="118" spans="1:33" ht="12.75" hidden="1">
      <c r="A118" s="76" t="str">
        <f t="shared" si="21"/>
        <v>E-TECNICO DI MANOVRA E CONDOTTA</v>
      </c>
      <c r="B118" s="81" t="str">
        <f t="shared" si="14"/>
        <v>2-E</v>
      </c>
      <c r="C118" s="81">
        <f>COUNTIF($B$6:B118,"="&amp;B118)</f>
        <v>2</v>
      </c>
      <c r="D118" s="81" t="str">
        <f t="shared" si="15"/>
        <v>2-2-E</v>
      </c>
      <c r="E118" s="76" t="str">
        <f t="shared" si="22"/>
        <v>TECNICO DI MANOVRA E CONDOTTA-1° Tecnico di Condotta</v>
      </c>
      <c r="F118" s="76" t="str">
        <f t="shared" si="16"/>
        <v>TECNICO DI MANOVRA E CONDOTTA-E-1° Tecnico di Condotta</v>
      </c>
      <c r="G118" s="76" t="str">
        <f t="shared" si="23"/>
        <v>2-TECNICO DI MANOVRA E CONDOTTA-E</v>
      </c>
      <c r="H118" s="76" t="str">
        <f t="shared" si="24"/>
        <v>E-TECNICO DI MANOVRA E CONDOTTA-2-2-E</v>
      </c>
      <c r="I118" s="76">
        <f t="shared" si="17"/>
        <v>51</v>
      </c>
      <c r="J118" s="76">
        <f>COUNTIF($A$6:A118,"="&amp;A118)</f>
        <v>2</v>
      </c>
      <c r="K118" s="76" t="str">
        <f>EDR1!D148</f>
        <v>TECNICO DI MANOVRA E CONDOTTA</v>
      </c>
      <c r="L118" s="76" t="str">
        <f>EDR1!C148</f>
        <v>E</v>
      </c>
      <c r="M118" s="76" t="str">
        <f>EDR1!E148</f>
        <v>1° Tecnico di Condotta</v>
      </c>
      <c r="N118" s="76"/>
      <c r="O118" s="76"/>
      <c r="P118" s="82">
        <f>VLOOKUP(L118&amp;$K$2&amp;K118&amp;$K$2&amp;M118,EDR1!$A$36:$Q$268,16,FALSE)</f>
        <v>25</v>
      </c>
      <c r="Q118" s="82">
        <f>VLOOKUP(L118&amp;$K$2&amp;K118&amp;$K$2&amp;M118,EDR1!$A$36:$Q$268,17,FALSE)</f>
        <v>58</v>
      </c>
      <c r="R118" s="77">
        <f t="shared" si="18"/>
        <v>113</v>
      </c>
      <c r="S118" s="80">
        <f t="shared" si="19"/>
      </c>
      <c r="T118" s="77">
        <f t="shared" si="20"/>
      </c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</row>
    <row r="119" spans="1:33" ht="12.75" hidden="1">
      <c r="A119" s="76" t="str">
        <f t="shared" si="21"/>
        <v>E-TECNICO DI MANOVRA E CONDOTTA</v>
      </c>
      <c r="B119" s="81" t="str">
        <f t="shared" si="14"/>
        <v>3-E</v>
      </c>
      <c r="C119" s="81">
        <f>COUNTIF($B$6:B119,"="&amp;B119)</f>
        <v>2</v>
      </c>
      <c r="D119" s="81" t="str">
        <f t="shared" si="15"/>
        <v>2-3-E</v>
      </c>
      <c r="E119" s="76" t="str">
        <f t="shared" si="22"/>
        <v>TECNICO DI MANOVRA E CONDOTTA-Ex profilo non previsto</v>
      </c>
      <c r="F119" s="76" t="str">
        <f t="shared" si="16"/>
        <v>TECNICO DI MANOVRA E CONDOTTA-E-Ex profilo non previsto</v>
      </c>
      <c r="G119" s="76" t="str">
        <f t="shared" si="23"/>
        <v>3-TECNICO DI MANOVRA E CONDOTTA-E</v>
      </c>
      <c r="H119" s="76" t="str">
        <f t="shared" si="24"/>
        <v>E-TECNICO DI MANOVRA E CONDOTTA-2-3-E</v>
      </c>
      <c r="I119" s="76">
        <f t="shared" si="17"/>
        <v>51</v>
      </c>
      <c r="J119" s="76">
        <f>COUNTIF($A$6:A119,"="&amp;A119)</f>
        <v>3</v>
      </c>
      <c r="K119" s="76" t="str">
        <f>EDR1!D149</f>
        <v>TECNICO DI MANOVRA E CONDOTTA</v>
      </c>
      <c r="L119" s="76" t="str">
        <f>EDR1!C149</f>
        <v>E</v>
      </c>
      <c r="M119" s="76" t="str">
        <f>EDR1!E149</f>
        <v>Ex profilo non previsto</v>
      </c>
      <c r="N119" s="76"/>
      <c r="O119" s="76"/>
      <c r="P119" s="82">
        <f>VLOOKUP(L119&amp;$K$2&amp;K119&amp;$K$2&amp;M119,EDR1!$A$36:$Q$268,16,FALSE)</f>
        <v>25</v>
      </c>
      <c r="Q119" s="82">
        <f>VLOOKUP(L119&amp;$K$2&amp;K119&amp;$K$2&amp;M119,EDR1!$A$36:$Q$268,17,FALSE)</f>
        <v>58</v>
      </c>
      <c r="R119" s="77">
        <f t="shared" si="18"/>
        <v>114</v>
      </c>
      <c r="S119" s="80">
        <f t="shared" si="19"/>
      </c>
      <c r="T119" s="77">
        <f t="shared" si="20"/>
      </c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</row>
    <row r="120" spans="1:33" ht="12.75" hidden="1">
      <c r="A120" s="76" t="str">
        <f t="shared" si="21"/>
        <v>E-TECNICO DI UFFICIO</v>
      </c>
      <c r="B120" s="81" t="str">
        <f t="shared" si="14"/>
        <v>1-E</v>
      </c>
      <c r="C120" s="81">
        <f>COUNTIF($B$6:B120,"="&amp;B120)</f>
        <v>8</v>
      </c>
      <c r="D120" s="81" t="str">
        <f t="shared" si="15"/>
        <v>8-1-E</v>
      </c>
      <c r="E120" s="76" t="str">
        <f t="shared" si="22"/>
        <v>TECNICO DI UFFICIO-1° Tecnico degli Uffici</v>
      </c>
      <c r="F120" s="76" t="str">
        <f t="shared" si="16"/>
        <v>TECNICO DI UFFICIO-E-1° Tecnico degli Uffici</v>
      </c>
      <c r="G120" s="76" t="str">
        <f t="shared" si="23"/>
        <v>1-TECNICO DI UFFICIO-E</v>
      </c>
      <c r="H120" s="76" t="str">
        <f t="shared" si="24"/>
        <v>E-TECNICO DI UFFICIO-8-1-E</v>
      </c>
      <c r="I120" s="76">
        <f t="shared" si="17"/>
        <v>52</v>
      </c>
      <c r="J120" s="76">
        <f>COUNTIF($A$6:A120,"="&amp;A120)</f>
        <v>1</v>
      </c>
      <c r="K120" s="76" t="str">
        <f>EDR1!D150</f>
        <v>TECNICO DI UFFICIO</v>
      </c>
      <c r="L120" s="76" t="str">
        <f>EDR1!C150</f>
        <v>E</v>
      </c>
      <c r="M120" s="76" t="str">
        <f>EDR1!E150</f>
        <v>1° Tecnico degli Uffici</v>
      </c>
      <c r="N120" s="76"/>
      <c r="O120" s="76"/>
      <c r="P120" s="82">
        <f>VLOOKUP(L120&amp;$K$2&amp;K120&amp;$K$2&amp;M120,EDR1!$A$36:$Q$268,16,FALSE)</f>
        <v>30</v>
      </c>
      <c r="Q120" s="82">
        <f>VLOOKUP(L120&amp;$K$2&amp;K120&amp;$K$2&amp;M120,EDR1!$A$36:$Q$268,17,FALSE)</f>
        <v>65</v>
      </c>
      <c r="R120" s="77">
        <f t="shared" si="18"/>
        <v>115</v>
      </c>
      <c r="S120" s="80">
        <f t="shared" si="19"/>
      </c>
      <c r="T120" s="77">
        <f t="shared" si="20"/>
      </c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</row>
    <row r="121" spans="1:33" ht="12.75" hidden="1">
      <c r="A121" s="76" t="str">
        <f t="shared" si="21"/>
        <v>E-TECNICO DI UFFICIO</v>
      </c>
      <c r="B121" s="81" t="str">
        <f t="shared" si="14"/>
        <v>2-E</v>
      </c>
      <c r="C121" s="81">
        <f>COUNTIF($B$6:B121,"="&amp;B121)</f>
        <v>3</v>
      </c>
      <c r="D121" s="81" t="str">
        <f t="shared" si="15"/>
        <v>3-2-E</v>
      </c>
      <c r="E121" s="76" t="str">
        <f t="shared" si="22"/>
        <v>TECNICO DI UFFICIO-Ex profilo non previsto</v>
      </c>
      <c r="F121" s="76" t="str">
        <f t="shared" si="16"/>
        <v>TECNICO DI UFFICIO-E-Ex profilo non previsto</v>
      </c>
      <c r="G121" s="76" t="str">
        <f t="shared" si="23"/>
        <v>2-TECNICO DI UFFICIO-E</v>
      </c>
      <c r="H121" s="76" t="str">
        <f t="shared" si="24"/>
        <v>E-TECNICO DI UFFICIO-3-2-E</v>
      </c>
      <c r="I121" s="76">
        <f t="shared" si="17"/>
        <v>52</v>
      </c>
      <c r="J121" s="76">
        <f>COUNTIF($A$6:A121,"="&amp;A121)</f>
        <v>2</v>
      </c>
      <c r="K121" s="76" t="str">
        <f>EDR1!D151</f>
        <v>TECNICO DI UFFICIO</v>
      </c>
      <c r="L121" s="76" t="str">
        <f>EDR1!C151</f>
        <v>E</v>
      </c>
      <c r="M121" s="76" t="str">
        <f>EDR1!E151</f>
        <v>Ex profilo non previsto</v>
      </c>
      <c r="N121" s="76"/>
      <c r="O121" s="76"/>
      <c r="P121" s="82">
        <f>VLOOKUP(L121&amp;$K$2&amp;K121&amp;$K$2&amp;M121,EDR1!$A$36:$Q$268,16,FALSE)</f>
        <v>30</v>
      </c>
      <c r="Q121" s="82">
        <f>VLOOKUP(L121&amp;$K$2&amp;K121&amp;$K$2&amp;M121,EDR1!$A$36:$Q$268,17,FALSE)</f>
        <v>65</v>
      </c>
      <c r="R121" s="77">
        <f t="shared" si="18"/>
        <v>116</v>
      </c>
      <c r="S121" s="80">
        <f t="shared" si="19"/>
      </c>
      <c r="T121" s="77">
        <f t="shared" si="20"/>
      </c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</row>
    <row r="122" spans="1:33" ht="12.75" hidden="1">
      <c r="A122" s="76" t="str">
        <f t="shared" si="21"/>
        <v>E-TECNICO DI VERIFICA</v>
      </c>
      <c r="B122" s="81" t="str">
        <f t="shared" si="14"/>
        <v>1-E</v>
      </c>
      <c r="C122" s="81">
        <f>COUNTIF($B$6:B122,"="&amp;B122)</f>
        <v>9</v>
      </c>
      <c r="D122" s="81" t="str">
        <f t="shared" si="15"/>
        <v>9-1-E</v>
      </c>
      <c r="E122" s="76" t="str">
        <f t="shared" si="22"/>
        <v>TECNICO DI VERIFICA-1° Tecnico della Verifica</v>
      </c>
      <c r="F122" s="76" t="str">
        <f t="shared" si="16"/>
        <v>TECNICO DI VERIFICA-E-1° Tecnico della Verifica</v>
      </c>
      <c r="G122" s="76" t="str">
        <f t="shared" si="23"/>
        <v>1-TECNICO DI VERIFICA-E</v>
      </c>
      <c r="H122" s="76" t="str">
        <f t="shared" si="24"/>
        <v>E-TECNICO DI VERIFICA-9-1-E</v>
      </c>
      <c r="I122" s="76">
        <f t="shared" si="17"/>
        <v>53</v>
      </c>
      <c r="J122" s="76">
        <f>COUNTIF($A$6:A122,"="&amp;A122)</f>
        <v>1</v>
      </c>
      <c r="K122" s="76" t="str">
        <f>EDR1!D152</f>
        <v>TECNICO DI VERIFICA</v>
      </c>
      <c r="L122" s="76" t="str">
        <f>EDR1!C152</f>
        <v>E</v>
      </c>
      <c r="M122" s="76" t="str">
        <f>EDR1!E152</f>
        <v>1° Tecnico della Verifica</v>
      </c>
      <c r="N122" s="76"/>
      <c r="O122" s="76"/>
      <c r="P122" s="82">
        <f>VLOOKUP(L122&amp;$K$2&amp;K122&amp;$K$2&amp;M122,EDR1!$A$36:$Q$268,16,FALSE)</f>
        <v>25</v>
      </c>
      <c r="Q122" s="82">
        <f>VLOOKUP(L122&amp;$K$2&amp;K122&amp;$K$2&amp;M122,EDR1!$A$36:$Q$268,17,FALSE)</f>
        <v>65</v>
      </c>
      <c r="R122" s="77">
        <f t="shared" si="18"/>
        <v>117</v>
      </c>
      <c r="S122" s="80">
        <f t="shared" si="19"/>
      </c>
      <c r="T122" s="77">
        <f t="shared" si="20"/>
      </c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</row>
    <row r="123" spans="1:33" ht="12.75" hidden="1">
      <c r="A123" s="76" t="str">
        <f t="shared" si="21"/>
        <v>E-TECNICO DI VERIFICA</v>
      </c>
      <c r="B123" s="81" t="str">
        <f t="shared" si="14"/>
        <v>2-E</v>
      </c>
      <c r="C123" s="81">
        <f>COUNTIF($B$6:B123,"="&amp;B123)</f>
        <v>4</v>
      </c>
      <c r="D123" s="81" t="str">
        <f t="shared" si="15"/>
        <v>4-2-E</v>
      </c>
      <c r="E123" s="76" t="str">
        <f t="shared" si="22"/>
        <v>TECNICO DI VERIFICA-Ex profilo non previsto</v>
      </c>
      <c r="F123" s="76" t="str">
        <f t="shared" si="16"/>
        <v>TECNICO DI VERIFICA-E-Ex profilo non previsto</v>
      </c>
      <c r="G123" s="76" t="str">
        <f t="shared" si="23"/>
        <v>2-TECNICO DI VERIFICA-E</v>
      </c>
      <c r="H123" s="76" t="str">
        <f t="shared" si="24"/>
        <v>E-TECNICO DI VERIFICA-4-2-E</v>
      </c>
      <c r="I123" s="76">
        <f t="shared" si="17"/>
        <v>53</v>
      </c>
      <c r="J123" s="76">
        <f>COUNTIF($A$6:A123,"="&amp;A123)</f>
        <v>2</v>
      </c>
      <c r="K123" s="76" t="str">
        <f>EDR1!D153</f>
        <v>TECNICO DI VERIFICA</v>
      </c>
      <c r="L123" s="76" t="str">
        <f>EDR1!C153</f>
        <v>E</v>
      </c>
      <c r="M123" s="76" t="str">
        <f>EDR1!E153</f>
        <v>Ex profilo non previsto</v>
      </c>
      <c r="N123" s="76"/>
      <c r="O123" s="76"/>
      <c r="P123" s="82">
        <f>VLOOKUP(L123&amp;$K$2&amp;K123&amp;$K$2&amp;M123,EDR1!$A$36:$Q$268,16,FALSE)</f>
        <v>30</v>
      </c>
      <c r="Q123" s="82">
        <f>VLOOKUP(L123&amp;$K$2&amp;K123&amp;$K$2&amp;M123,EDR1!$A$36:$Q$268,17,FALSE)</f>
        <v>65</v>
      </c>
      <c r="R123" s="77">
        <f t="shared" si="18"/>
        <v>118</v>
      </c>
      <c r="S123" s="80">
        <f t="shared" si="19"/>
      </c>
      <c r="T123" s="77">
        <f t="shared" si="20"/>
      </c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</row>
    <row r="124" spans="1:33" ht="12.75" hidden="1">
      <c r="A124" s="76" t="str">
        <f t="shared" si="21"/>
        <v>E-TECNICO FORMAZIONE TRENO</v>
      </c>
      <c r="B124" s="81" t="str">
        <f t="shared" si="14"/>
        <v>1-E</v>
      </c>
      <c r="C124" s="81">
        <f>COUNTIF($B$6:B124,"="&amp;B124)</f>
        <v>10</v>
      </c>
      <c r="D124" s="81" t="str">
        <f t="shared" si="15"/>
        <v>10-1-E</v>
      </c>
      <c r="E124" s="76" t="str">
        <f t="shared" si="22"/>
        <v>TECNICO FORMAZIONE TRENO-1° Tecnico della Manovra</v>
      </c>
      <c r="F124" s="76" t="str">
        <f t="shared" si="16"/>
        <v>TECNICO FORMAZIONE TRENO-E-1° Tecnico della Manovra</v>
      </c>
      <c r="G124" s="76" t="str">
        <f t="shared" si="23"/>
        <v>1-TECNICO FORMAZIONE TRENO-E</v>
      </c>
      <c r="H124" s="76" t="str">
        <f t="shared" si="24"/>
        <v>E-TECNICO FORMAZIONE TRENO-10-1-E</v>
      </c>
      <c r="I124" s="76">
        <f t="shared" si="17"/>
        <v>54</v>
      </c>
      <c r="J124" s="76">
        <f>COUNTIF($A$6:A124,"="&amp;A124)</f>
        <v>1</v>
      </c>
      <c r="K124" s="76" t="str">
        <f>EDR1!D154</f>
        <v>TECNICO FORMAZIONE TRENO</v>
      </c>
      <c r="L124" s="76" t="str">
        <f>EDR1!C154</f>
        <v>E</v>
      </c>
      <c r="M124" s="76" t="str">
        <f>EDR1!E154</f>
        <v>1° Tecnico della Manovra</v>
      </c>
      <c r="N124" s="76"/>
      <c r="O124" s="76"/>
      <c r="P124" s="82">
        <f>VLOOKUP(L124&amp;$K$2&amp;K124&amp;$K$2&amp;M124,EDR1!$A$36:$Q$268,16,FALSE)</f>
        <v>25</v>
      </c>
      <c r="Q124" s="82">
        <f>VLOOKUP(L124&amp;$K$2&amp;K124&amp;$K$2&amp;M124,EDR1!$A$36:$Q$268,17,FALSE)</f>
        <v>58</v>
      </c>
      <c r="R124" s="77">
        <f t="shared" si="18"/>
        <v>119</v>
      </c>
      <c r="S124" s="80">
        <f t="shared" si="19"/>
      </c>
      <c r="T124" s="77">
        <f t="shared" si="20"/>
      </c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</row>
    <row r="125" spans="1:33" ht="12.75" hidden="1">
      <c r="A125" s="76" t="str">
        <f t="shared" si="21"/>
        <v>E-TECNICO FORMAZIONE TRENO</v>
      </c>
      <c r="B125" s="81" t="str">
        <f t="shared" si="14"/>
        <v>2-E</v>
      </c>
      <c r="C125" s="81">
        <f>COUNTIF($B$6:B125,"="&amp;B125)</f>
        <v>5</v>
      </c>
      <c r="D125" s="81" t="str">
        <f t="shared" si="15"/>
        <v>5-2-E</v>
      </c>
      <c r="E125" s="76" t="str">
        <f t="shared" si="22"/>
        <v>TECNICO FORMAZIONE TRENO-1° Tecnico della Verifica</v>
      </c>
      <c r="F125" s="76" t="str">
        <f t="shared" si="16"/>
        <v>TECNICO FORMAZIONE TRENO-E-1° Tecnico della Verifica</v>
      </c>
      <c r="G125" s="76" t="str">
        <f t="shared" si="23"/>
        <v>2-TECNICO FORMAZIONE TRENO-E</v>
      </c>
      <c r="H125" s="76" t="str">
        <f t="shared" si="24"/>
        <v>E-TECNICO FORMAZIONE TRENO-5-2-E</v>
      </c>
      <c r="I125" s="76">
        <f t="shared" si="17"/>
        <v>54</v>
      </c>
      <c r="J125" s="76">
        <f>COUNTIF($A$6:A125,"="&amp;A125)</f>
        <v>2</v>
      </c>
      <c r="K125" s="76" t="str">
        <f>EDR1!D155</f>
        <v>TECNICO FORMAZIONE TRENO</v>
      </c>
      <c r="L125" s="76" t="str">
        <f>EDR1!C155</f>
        <v>E</v>
      </c>
      <c r="M125" s="76" t="str">
        <f>EDR1!E155</f>
        <v>1° Tecnico della Verifica</v>
      </c>
      <c r="N125" s="76"/>
      <c r="O125" s="76"/>
      <c r="P125" s="82">
        <f>VLOOKUP(L125&amp;$K$2&amp;K125&amp;$K$2&amp;M125,EDR1!$A$36:$Q$268,16,FALSE)</f>
        <v>25</v>
      </c>
      <c r="Q125" s="82">
        <f>VLOOKUP(L125&amp;$K$2&amp;K125&amp;$K$2&amp;M125,EDR1!$A$36:$Q$268,17,FALSE)</f>
        <v>65</v>
      </c>
      <c r="R125" s="77">
        <f t="shared" si="18"/>
        <v>120</v>
      </c>
      <c r="S125" s="80">
        <f t="shared" si="19"/>
      </c>
      <c r="T125" s="77">
        <f t="shared" si="20"/>
      </c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</row>
    <row r="126" spans="1:33" ht="12.75" hidden="1">
      <c r="A126" s="76" t="str">
        <f t="shared" si="21"/>
        <v>E-TECNICO FORMAZIONE TRENO</v>
      </c>
      <c r="B126" s="81" t="str">
        <f t="shared" si="14"/>
        <v>3-E</v>
      </c>
      <c r="C126" s="81">
        <f>COUNTIF($B$6:B126,"="&amp;B126)</f>
        <v>3</v>
      </c>
      <c r="D126" s="81" t="str">
        <f t="shared" si="15"/>
        <v>3-3-E</v>
      </c>
      <c r="E126" s="76" t="str">
        <f t="shared" si="22"/>
        <v>TECNICO FORMAZIONE TRENO-1° Tecnico di Stazione</v>
      </c>
      <c r="F126" s="76" t="str">
        <f t="shared" si="16"/>
        <v>TECNICO FORMAZIONE TRENO-E-1° Tecnico di Stazione</v>
      </c>
      <c r="G126" s="76" t="str">
        <f t="shared" si="23"/>
        <v>3-TECNICO FORMAZIONE TRENO-E</v>
      </c>
      <c r="H126" s="76" t="str">
        <f t="shared" si="24"/>
        <v>E-TECNICO FORMAZIONE TRENO-3-3-E</v>
      </c>
      <c r="I126" s="76">
        <f t="shared" si="17"/>
        <v>54</v>
      </c>
      <c r="J126" s="76">
        <f>COUNTIF($A$6:A126,"="&amp;A126)</f>
        <v>3</v>
      </c>
      <c r="K126" s="76" t="str">
        <f>EDR1!D156</f>
        <v>TECNICO FORMAZIONE TRENO</v>
      </c>
      <c r="L126" s="76" t="str">
        <f>EDR1!C156</f>
        <v>E</v>
      </c>
      <c r="M126" s="76" t="str">
        <f>EDR1!E156</f>
        <v>1° Tecnico di Stazione</v>
      </c>
      <c r="N126" s="76"/>
      <c r="O126" s="76"/>
      <c r="P126" s="82">
        <f>VLOOKUP(L126&amp;$K$2&amp;K126&amp;$K$2&amp;M126,EDR1!$A$36:$Q$268,16,FALSE)</f>
        <v>30</v>
      </c>
      <c r="Q126" s="82">
        <f>VLOOKUP(L126&amp;$K$2&amp;K126&amp;$K$2&amp;M126,EDR1!$A$36:$Q$268,17,FALSE)</f>
        <v>65</v>
      </c>
      <c r="R126" s="77">
        <f t="shared" si="18"/>
        <v>121</v>
      </c>
      <c r="S126" s="80">
        <f t="shared" si="19"/>
      </c>
      <c r="T126" s="77">
        <f t="shared" si="20"/>
      </c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</row>
    <row r="127" spans="1:33" ht="12.75" hidden="1">
      <c r="A127" s="76" t="str">
        <f t="shared" si="21"/>
        <v>E-TECNICO FORMAZIONE TRENO</v>
      </c>
      <c r="B127" s="81" t="str">
        <f t="shared" si="14"/>
        <v>4-E</v>
      </c>
      <c r="C127" s="81">
        <f>COUNTIF($B$6:B127,"="&amp;B127)</f>
        <v>2</v>
      </c>
      <c r="D127" s="81" t="str">
        <f t="shared" si="15"/>
        <v>2-4-E</v>
      </c>
      <c r="E127" s="76" t="str">
        <f t="shared" si="22"/>
        <v>TECNICO FORMAZIONE TRENO-Ex profilo non previsto</v>
      </c>
      <c r="F127" s="76" t="str">
        <f t="shared" si="16"/>
        <v>TECNICO FORMAZIONE TRENO-E-Ex profilo non previsto</v>
      </c>
      <c r="G127" s="76" t="str">
        <f t="shared" si="23"/>
        <v>4-TECNICO FORMAZIONE TRENO-E</v>
      </c>
      <c r="H127" s="76" t="str">
        <f t="shared" si="24"/>
        <v>E-TECNICO FORMAZIONE TRENO-2-4-E</v>
      </c>
      <c r="I127" s="76">
        <f t="shared" si="17"/>
        <v>54</v>
      </c>
      <c r="J127" s="76">
        <f>COUNTIF($A$6:A127,"="&amp;A127)</f>
        <v>4</v>
      </c>
      <c r="K127" s="76" t="str">
        <f>EDR1!D157</f>
        <v>TECNICO FORMAZIONE TRENO</v>
      </c>
      <c r="L127" s="76" t="str">
        <f>EDR1!C157</f>
        <v>E</v>
      </c>
      <c r="M127" s="76" t="str">
        <f>EDR1!E157</f>
        <v>Ex profilo non previsto</v>
      </c>
      <c r="N127" s="76"/>
      <c r="O127" s="76"/>
      <c r="P127" s="82">
        <f>VLOOKUP(L127&amp;$K$2&amp;K127&amp;$K$2&amp;M127,EDR1!$A$36:$Q$268,16,FALSE)</f>
        <v>30</v>
      </c>
      <c r="Q127" s="82">
        <f>VLOOKUP(L127&amp;$K$2&amp;K127&amp;$K$2&amp;M127,EDR1!$A$36:$Q$268,17,FALSE)</f>
        <v>65</v>
      </c>
      <c r="R127" s="77">
        <f t="shared" si="18"/>
        <v>122</v>
      </c>
      <c r="S127" s="80">
        <f t="shared" si="19"/>
      </c>
      <c r="T127" s="77">
        <f t="shared" si="20"/>
      </c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</row>
    <row r="128" spans="1:33" ht="12.75" hidden="1">
      <c r="A128" s="76" t="str">
        <f t="shared" si="21"/>
        <v>E-TECNICO MANUTENZIONE</v>
      </c>
      <c r="B128" s="81" t="str">
        <f t="shared" si="14"/>
        <v>1-E</v>
      </c>
      <c r="C128" s="81">
        <f>COUNTIF($B$6:B128,"="&amp;B128)</f>
        <v>11</v>
      </c>
      <c r="D128" s="81" t="str">
        <f t="shared" si="15"/>
        <v>11-1-E</v>
      </c>
      <c r="E128" s="76" t="str">
        <f t="shared" si="22"/>
        <v>TECNICO MANUTENZIONE-1° Tecnico Manutenzione Infrastrutture</v>
      </c>
      <c r="F128" s="76" t="str">
        <f t="shared" si="16"/>
        <v>TECNICO MANUTENZIONE-E-1° Tecnico Manutenzione Infrastrutture</v>
      </c>
      <c r="G128" s="76" t="str">
        <f t="shared" si="23"/>
        <v>1-TECNICO MANUTENZIONE-E</v>
      </c>
      <c r="H128" s="76" t="str">
        <f t="shared" si="24"/>
        <v>E-TECNICO MANUTENZIONE-11-1-E</v>
      </c>
      <c r="I128" s="76">
        <f t="shared" si="17"/>
        <v>55</v>
      </c>
      <c r="J128" s="76">
        <f>COUNTIF($A$6:A128,"="&amp;A128)</f>
        <v>1</v>
      </c>
      <c r="K128" s="76" t="str">
        <f>EDR1!D158</f>
        <v>TECNICO MANUTENZIONE</v>
      </c>
      <c r="L128" s="76" t="str">
        <f>EDR1!C158</f>
        <v>E</v>
      </c>
      <c r="M128" s="76" t="str">
        <f>EDR1!E158</f>
        <v>1° Tecnico Manutenzione Infrastrutture</v>
      </c>
      <c r="N128" s="76"/>
      <c r="O128" s="76"/>
      <c r="P128" s="82">
        <f>VLOOKUP(L128&amp;$K$2&amp;K128&amp;$K$2&amp;M128,EDR1!$A$36:$Q$268,16,FALSE)</f>
        <v>25</v>
      </c>
      <c r="Q128" s="82">
        <f>VLOOKUP(L128&amp;$K$2&amp;K128&amp;$K$2&amp;M128,EDR1!$A$36:$Q$268,17,FALSE)</f>
        <v>65</v>
      </c>
      <c r="R128" s="77">
        <f t="shared" si="18"/>
        <v>123</v>
      </c>
      <c r="S128" s="80">
        <f t="shared" si="19"/>
      </c>
      <c r="T128" s="77">
        <f t="shared" si="20"/>
      </c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</row>
    <row r="129" spans="1:33" ht="12.75" hidden="1">
      <c r="A129" s="76" t="str">
        <f t="shared" si="21"/>
        <v>E-TECNICO MANUTENZIONE</v>
      </c>
      <c r="B129" s="81" t="str">
        <f t="shared" si="14"/>
        <v>2-E</v>
      </c>
      <c r="C129" s="81">
        <f>COUNTIF($B$6:B129,"="&amp;B129)</f>
        <v>6</v>
      </c>
      <c r="D129" s="81" t="str">
        <f t="shared" si="15"/>
        <v>6-2-E</v>
      </c>
      <c r="E129" s="76" t="str">
        <f t="shared" si="22"/>
        <v>TECNICO MANUTENZIONE-1° Tecnico Manutenzione Rotabili</v>
      </c>
      <c r="F129" s="76" t="str">
        <f t="shared" si="16"/>
        <v>TECNICO MANUTENZIONE-E-1° Tecnico Manutenzione Rotabili</v>
      </c>
      <c r="G129" s="76" t="str">
        <f t="shared" si="23"/>
        <v>2-TECNICO MANUTENZIONE-E</v>
      </c>
      <c r="H129" s="76" t="str">
        <f t="shared" si="24"/>
        <v>E-TECNICO MANUTENZIONE-6-2-E</v>
      </c>
      <c r="I129" s="76">
        <f t="shared" si="17"/>
        <v>55</v>
      </c>
      <c r="J129" s="76">
        <f>COUNTIF($A$6:A129,"="&amp;A129)</f>
        <v>2</v>
      </c>
      <c r="K129" s="76" t="str">
        <f>EDR1!D159</f>
        <v>TECNICO MANUTENZIONE</v>
      </c>
      <c r="L129" s="76" t="str">
        <f>EDR1!C159</f>
        <v>E</v>
      </c>
      <c r="M129" s="76" t="str">
        <f>EDR1!E159</f>
        <v>1° Tecnico Manutenzione Rotabili</v>
      </c>
      <c r="N129" s="76"/>
      <c r="O129" s="76"/>
      <c r="P129" s="82">
        <f>VLOOKUP(L129&amp;$K$2&amp;K129&amp;$K$2&amp;M129,EDR1!$A$36:$Q$268,16,FALSE)</f>
        <v>25</v>
      </c>
      <c r="Q129" s="82">
        <f>VLOOKUP(L129&amp;$K$2&amp;K129&amp;$K$2&amp;M129,EDR1!$A$36:$Q$268,17,FALSE)</f>
        <v>65</v>
      </c>
      <c r="R129" s="77">
        <f t="shared" si="18"/>
        <v>124</v>
      </c>
      <c r="S129" s="80">
        <f t="shared" si="19"/>
      </c>
      <c r="T129" s="77">
        <f t="shared" si="20"/>
      </c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</row>
    <row r="130" spans="1:33" ht="12.75" hidden="1">
      <c r="A130" s="76" t="str">
        <f t="shared" si="21"/>
        <v>E-TECNICO MANUTENZIONE</v>
      </c>
      <c r="B130" s="81" t="str">
        <f t="shared" si="14"/>
        <v>3-E</v>
      </c>
      <c r="C130" s="81">
        <f>COUNTIF($B$6:B130,"="&amp;B130)</f>
        <v>4</v>
      </c>
      <c r="D130" s="81" t="str">
        <f t="shared" si="15"/>
        <v>4-3-E</v>
      </c>
      <c r="E130" s="76" t="str">
        <f t="shared" si="22"/>
        <v>TECNICO MANUTENZIONE-1° Tecnico Officine navi Traghetto</v>
      </c>
      <c r="F130" s="76" t="str">
        <f t="shared" si="16"/>
        <v>TECNICO MANUTENZIONE-E-1° Tecnico Officine navi Traghetto</v>
      </c>
      <c r="G130" s="76" t="str">
        <f t="shared" si="23"/>
        <v>3-TECNICO MANUTENZIONE-E</v>
      </c>
      <c r="H130" s="76" t="str">
        <f t="shared" si="24"/>
        <v>E-TECNICO MANUTENZIONE-4-3-E</v>
      </c>
      <c r="I130" s="76">
        <f t="shared" si="17"/>
        <v>55</v>
      </c>
      <c r="J130" s="76">
        <f>COUNTIF($A$6:A130,"="&amp;A130)</f>
        <v>3</v>
      </c>
      <c r="K130" s="76" t="str">
        <f>EDR1!D160</f>
        <v>TECNICO MANUTENZIONE</v>
      </c>
      <c r="L130" s="76" t="str">
        <f>EDR1!C160</f>
        <v>E</v>
      </c>
      <c r="M130" s="76" t="str">
        <f>EDR1!E160</f>
        <v>1° Tecnico Officine navi Traghetto</v>
      </c>
      <c r="N130" s="76"/>
      <c r="O130" s="76"/>
      <c r="P130" s="82">
        <f>VLOOKUP(L130&amp;$K$2&amp;K130&amp;$K$2&amp;M130,EDR1!$A$36:$Q$268,16,FALSE)</f>
        <v>25</v>
      </c>
      <c r="Q130" s="82">
        <f>VLOOKUP(L130&amp;$K$2&amp;K130&amp;$K$2&amp;M130,EDR1!$A$36:$Q$268,17,FALSE)</f>
        <v>65</v>
      </c>
      <c r="R130" s="77">
        <f t="shared" si="18"/>
        <v>125</v>
      </c>
      <c r="S130" s="80">
        <f t="shared" si="19"/>
      </c>
      <c r="T130" s="77">
        <f t="shared" si="20"/>
      </c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</row>
    <row r="131" spans="1:33" ht="12.75" hidden="1">
      <c r="A131" s="76" t="str">
        <f t="shared" si="21"/>
        <v>E-TECNICO MANUTENZIONE</v>
      </c>
      <c r="B131" s="81" t="str">
        <f t="shared" si="14"/>
        <v>4-E</v>
      </c>
      <c r="C131" s="81">
        <f>COUNTIF($B$6:B131,"="&amp;B131)</f>
        <v>3</v>
      </c>
      <c r="D131" s="81" t="str">
        <f t="shared" si="15"/>
        <v>3-4-E</v>
      </c>
      <c r="E131" s="76" t="str">
        <f t="shared" si="22"/>
        <v>TECNICO MANUTENZIONE-1° Tecnico Officine Nazionali Infrastrutture</v>
      </c>
      <c r="F131" s="76" t="str">
        <f t="shared" si="16"/>
        <v>TECNICO MANUTENZIONE-E-1° Tecnico Officine Nazionali Infrastrutture</v>
      </c>
      <c r="G131" s="76" t="str">
        <f t="shared" si="23"/>
        <v>4-TECNICO MANUTENZIONE-E</v>
      </c>
      <c r="H131" s="76" t="str">
        <f t="shared" si="24"/>
        <v>E-TECNICO MANUTENZIONE-3-4-E</v>
      </c>
      <c r="I131" s="76">
        <f t="shared" si="17"/>
        <v>55</v>
      </c>
      <c r="J131" s="76">
        <f>COUNTIF($A$6:A131,"="&amp;A131)</f>
        <v>4</v>
      </c>
      <c r="K131" s="76" t="str">
        <f>EDR1!D161</f>
        <v>TECNICO MANUTENZIONE</v>
      </c>
      <c r="L131" s="76" t="str">
        <f>EDR1!C161</f>
        <v>E</v>
      </c>
      <c r="M131" s="76" t="str">
        <f>EDR1!E161</f>
        <v>1° Tecnico Officine Nazionali Infrastrutture</v>
      </c>
      <c r="N131" s="76"/>
      <c r="O131" s="76"/>
      <c r="P131" s="82">
        <f>VLOOKUP(L131&amp;$K$2&amp;K131&amp;$K$2&amp;M131,EDR1!$A$36:$Q$268,16,FALSE)</f>
        <v>25</v>
      </c>
      <c r="Q131" s="82">
        <f>VLOOKUP(L131&amp;$K$2&amp;K131&amp;$K$2&amp;M131,EDR1!$A$36:$Q$268,17,FALSE)</f>
        <v>65</v>
      </c>
      <c r="R131" s="77">
        <f t="shared" si="18"/>
        <v>126</v>
      </c>
      <c r="S131" s="80">
        <f t="shared" si="19"/>
      </c>
      <c r="T131" s="77">
        <f t="shared" si="20"/>
      </c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</row>
    <row r="132" spans="1:33" ht="12.75" hidden="1">
      <c r="A132" s="76" t="str">
        <f t="shared" si="21"/>
        <v>E-TECNICO SANITARIO SPECIALIZZATO</v>
      </c>
      <c r="B132" s="81" t="str">
        <f t="shared" si="14"/>
        <v>1-E</v>
      </c>
      <c r="C132" s="81">
        <f>COUNTIF($B$6:B132,"="&amp;B132)</f>
        <v>12</v>
      </c>
      <c r="D132" s="81" t="str">
        <f t="shared" si="15"/>
        <v>12-1-E</v>
      </c>
      <c r="E132" s="76" t="str">
        <f t="shared" si="22"/>
        <v>TECNICO SANITARIO SPECIALIZZATO-Assistente Sanitario</v>
      </c>
      <c r="F132" s="76" t="str">
        <f t="shared" si="16"/>
        <v>TECNICO SANITARIO SPECIALIZZATO-E-Assistente Sanitario</v>
      </c>
      <c r="G132" s="76" t="str">
        <f t="shared" si="23"/>
        <v>1-TECNICO SANITARIO SPECIALIZZATO-E</v>
      </c>
      <c r="H132" s="76" t="str">
        <f t="shared" si="24"/>
        <v>E-TECNICO SANITARIO SPECIALIZZATO-12-1-E</v>
      </c>
      <c r="I132" s="76">
        <f t="shared" si="17"/>
        <v>56</v>
      </c>
      <c r="J132" s="76">
        <f>COUNTIF($A$6:A132,"="&amp;A132)</f>
        <v>1</v>
      </c>
      <c r="K132" s="76" t="str">
        <f>EDR1!D162</f>
        <v>TECNICO SANITARIO SPECIALIZZATO</v>
      </c>
      <c r="L132" s="76" t="str">
        <f>EDR1!C162</f>
        <v>E</v>
      </c>
      <c r="M132" s="76" t="str">
        <f>EDR1!E162</f>
        <v>Assistente Sanitario</v>
      </c>
      <c r="N132" s="76"/>
      <c r="O132" s="76"/>
      <c r="P132" s="82">
        <f>VLOOKUP(L132&amp;$K$2&amp;K132&amp;$K$2&amp;M132,EDR1!$A$36:$Q$268,16,FALSE)</f>
        <v>30</v>
      </c>
      <c r="Q132" s="82">
        <f>VLOOKUP(L132&amp;$K$2&amp;K132&amp;$K$2&amp;M132,EDR1!$A$36:$Q$268,17,FALSE)</f>
        <v>65</v>
      </c>
      <c r="R132" s="77">
        <f t="shared" si="18"/>
        <v>127</v>
      </c>
      <c r="S132" s="80">
        <f t="shared" si="19"/>
      </c>
      <c r="T132" s="77">
        <f t="shared" si="20"/>
      </c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</row>
    <row r="133" spans="1:33" ht="12.75" hidden="1">
      <c r="A133" s="76" t="str">
        <f t="shared" si="21"/>
        <v>E-TECNICO SANITARIO SPECIALIZZATO</v>
      </c>
      <c r="B133" s="81" t="str">
        <f t="shared" si="14"/>
        <v>2-E</v>
      </c>
      <c r="C133" s="81">
        <f>COUNTIF($B$6:B133,"="&amp;B133)</f>
        <v>7</v>
      </c>
      <c r="D133" s="81" t="str">
        <f t="shared" si="15"/>
        <v>7-2-E</v>
      </c>
      <c r="E133" s="76" t="str">
        <f t="shared" si="22"/>
        <v>TECNICO SANITARIO SPECIALIZZATO-Ex profilo non previsto</v>
      </c>
      <c r="F133" s="76" t="str">
        <f t="shared" si="16"/>
        <v>TECNICO SANITARIO SPECIALIZZATO-E-Ex profilo non previsto</v>
      </c>
      <c r="G133" s="76" t="str">
        <f t="shared" si="23"/>
        <v>2-TECNICO SANITARIO SPECIALIZZATO-E</v>
      </c>
      <c r="H133" s="76" t="str">
        <f t="shared" si="24"/>
        <v>E-TECNICO SANITARIO SPECIALIZZATO-7-2-E</v>
      </c>
      <c r="I133" s="76">
        <f t="shared" si="17"/>
        <v>56</v>
      </c>
      <c r="J133" s="76">
        <f>COUNTIF($A$6:A133,"="&amp;A133)</f>
        <v>2</v>
      </c>
      <c r="K133" s="76" t="str">
        <f>EDR1!D163</f>
        <v>TECNICO SANITARIO SPECIALIZZATO</v>
      </c>
      <c r="L133" s="76" t="str">
        <f>EDR1!C163</f>
        <v>E</v>
      </c>
      <c r="M133" s="76" t="str">
        <f>EDR1!E163</f>
        <v>Ex profilo non previsto</v>
      </c>
      <c r="N133" s="76"/>
      <c r="O133" s="76"/>
      <c r="P133" s="82">
        <f>VLOOKUP(L133&amp;$K$2&amp;K133&amp;$K$2&amp;M133,EDR1!$A$36:$Q$268,16,FALSE)</f>
        <v>30</v>
      </c>
      <c r="Q133" s="82">
        <f>VLOOKUP(L133&amp;$K$2&amp;K133&amp;$K$2&amp;M133,EDR1!$A$36:$Q$268,17,FALSE)</f>
        <v>65</v>
      </c>
      <c r="R133" s="77">
        <f t="shared" si="18"/>
        <v>128</v>
      </c>
      <c r="S133" s="80">
        <f t="shared" si="19"/>
      </c>
      <c r="T133" s="77">
        <f t="shared" si="20"/>
      </c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</row>
    <row r="134" spans="1:33" ht="12.75" hidden="1">
      <c r="A134" s="76" t="str">
        <f t="shared" si="21"/>
        <v>F1-AUTISTA</v>
      </c>
      <c r="B134" s="81" t="str">
        <f aca="true" t="shared" si="25" ref="B134:B197">J134&amp;$K$2&amp;L134</f>
        <v>1-F1</v>
      </c>
      <c r="C134" s="81">
        <f>COUNTIF($B$6:B134,"="&amp;B134)</f>
        <v>1</v>
      </c>
      <c r="D134" s="81" t="str">
        <f aca="true" t="shared" si="26" ref="D134:D197">C134&amp;$K$2&amp;J134&amp;$K$2&amp;L134</f>
        <v>1-1-F1</v>
      </c>
      <c r="E134" s="76" t="str">
        <f t="shared" si="22"/>
        <v>AUTISTA-Autista (par. 156)</v>
      </c>
      <c r="F134" s="76" t="str">
        <f aca="true" t="shared" si="27" ref="F134:F197">K134&amp;$K$2&amp;L134&amp;$K$2&amp;M134</f>
        <v>AUTISTA-F1-Autista (par. 156)</v>
      </c>
      <c r="G134" s="76" t="str">
        <f t="shared" si="23"/>
        <v>1-AUTISTA-F1</v>
      </c>
      <c r="H134" s="76" t="str">
        <f t="shared" si="24"/>
        <v>F1-AUTISTA-1-1-F1</v>
      </c>
      <c r="I134" s="76">
        <f aca="true" t="shared" si="28" ref="I134:I197">IF(K133&lt;&gt;K134,I133+1,I133)</f>
        <v>57</v>
      </c>
      <c r="J134" s="76">
        <f>COUNTIF($A$6:A134,"="&amp;A134)</f>
        <v>1</v>
      </c>
      <c r="K134" s="76" t="str">
        <f>EDR1!D164</f>
        <v>AUTISTA</v>
      </c>
      <c r="L134" s="76" t="str">
        <f>EDR1!C164</f>
        <v>F1</v>
      </c>
      <c r="M134" s="76" t="str">
        <f>EDR1!E164</f>
        <v>Autista (par. 156)</v>
      </c>
      <c r="N134" s="76"/>
      <c r="O134" s="76"/>
      <c r="P134" s="82">
        <f>VLOOKUP(L134&amp;$K$2&amp;K134&amp;$K$2&amp;M134,EDR1!$A$36:$Q$268,16,FALSE)</f>
        <v>30</v>
      </c>
      <c r="Q134" s="82">
        <f>VLOOKUP(L134&amp;$K$2&amp;K134&amp;$K$2&amp;M134,EDR1!$A$36:$Q$268,17,FALSE)</f>
        <v>65</v>
      </c>
      <c r="R134" s="77">
        <f aca="true" t="shared" si="29" ref="R134:R197">R133+1</f>
        <v>129</v>
      </c>
      <c r="S134" s="80">
        <f aca="true" t="shared" si="30" ref="S134:S197">IF(ISNA(VLOOKUP((R133+1)&amp;$K$2&amp;$S$5&amp;$K$2&amp;$E$3,$D$6:$K$237,8,FALSE)),"",VLOOKUP((R133+1)&amp;$K$2&amp;$S$5&amp;$K$2&amp;$E$3,$D$6:$K$237,8,FALSE))</f>
      </c>
      <c r="T134" s="77">
        <f aca="true" t="shared" si="31" ref="T134:T197">IF(S134&lt;&gt;"",VLOOKUP(S134,$K$6:$M$238,2,FALSE),"")</f>
      </c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</row>
    <row r="135" spans="1:33" ht="12.75" hidden="1">
      <c r="A135" s="76" t="str">
        <f aca="true" t="shared" si="32" ref="A135:A198">L135&amp;$K$2&amp;K135</f>
        <v>F1-CAPO SQUADRA AUSILIARI</v>
      </c>
      <c r="B135" s="81" t="str">
        <f t="shared" si="25"/>
        <v>1-F1</v>
      </c>
      <c r="C135" s="81">
        <f>COUNTIF($B$6:B135,"="&amp;B135)</f>
        <v>2</v>
      </c>
      <c r="D135" s="81" t="str">
        <f t="shared" si="26"/>
        <v>2-1-F1</v>
      </c>
      <c r="E135" s="76" t="str">
        <f aca="true" t="shared" si="33" ref="E135:E198">K135&amp;$K$2&amp;M135</f>
        <v>CAPO SQUADRA AUSILIARI-Capo Squadra Ausiliari (par. 156)</v>
      </c>
      <c r="F135" s="76" t="str">
        <f t="shared" si="27"/>
        <v>CAPO SQUADRA AUSILIARI-F1-Capo Squadra Ausiliari (par. 156)</v>
      </c>
      <c r="G135" s="76" t="str">
        <f aca="true" t="shared" si="34" ref="G135:G198">J135&amp;$K$2&amp;K135&amp;$K$2&amp;L135</f>
        <v>1-CAPO SQUADRA AUSILIARI-F1</v>
      </c>
      <c r="H135" s="76" t="str">
        <f aca="true" t="shared" si="35" ref="H135:H198">A135&amp;$K$2&amp;D135</f>
        <v>F1-CAPO SQUADRA AUSILIARI-2-1-F1</v>
      </c>
      <c r="I135" s="76">
        <f t="shared" si="28"/>
        <v>58</v>
      </c>
      <c r="J135" s="76">
        <f>COUNTIF($A$6:A135,"="&amp;A135)</f>
        <v>1</v>
      </c>
      <c r="K135" s="76" t="str">
        <f>EDR1!D165</f>
        <v>CAPO SQUADRA AUSILIARI</v>
      </c>
      <c r="L135" s="76" t="str">
        <f>EDR1!C165</f>
        <v>F1</v>
      </c>
      <c r="M135" s="76" t="str">
        <f>EDR1!E165</f>
        <v>Capo Squadra Ausiliari (par. 156)</v>
      </c>
      <c r="N135" s="76"/>
      <c r="O135" s="76"/>
      <c r="P135" s="82">
        <f>VLOOKUP(L135&amp;$K$2&amp;K135&amp;$K$2&amp;M135,EDR1!$A$36:$Q$268,16,FALSE)</f>
        <v>30</v>
      </c>
      <c r="Q135" s="82">
        <f>VLOOKUP(L135&amp;$K$2&amp;K135&amp;$K$2&amp;M135,EDR1!$A$36:$Q$268,17,FALSE)</f>
        <v>65</v>
      </c>
      <c r="R135" s="77">
        <f t="shared" si="29"/>
        <v>130</v>
      </c>
      <c r="S135" s="80">
        <f t="shared" si="30"/>
      </c>
      <c r="T135" s="77">
        <f t="shared" si="31"/>
      </c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</row>
    <row r="136" spans="1:33" ht="12.75" hidden="1">
      <c r="A136" s="76" t="str">
        <f t="shared" si="32"/>
        <v>F1-CAPO SQUADRA AUSILIARI</v>
      </c>
      <c r="B136" s="81" t="str">
        <f t="shared" si="25"/>
        <v>2-F1</v>
      </c>
      <c r="C136" s="81">
        <f>COUNTIF($B$6:B136,"="&amp;B136)</f>
        <v>1</v>
      </c>
      <c r="D136" s="81" t="str">
        <f t="shared" si="26"/>
        <v>1-2-F1</v>
      </c>
      <c r="E136" s="76" t="str">
        <f t="shared" si="33"/>
        <v>CAPO SQUADRA AUSILIARI-Capo Squadra Manovali r.e.</v>
      </c>
      <c r="F136" s="76" t="str">
        <f t="shared" si="27"/>
        <v>CAPO SQUADRA AUSILIARI-F1-Capo Squadra Manovali r.e.</v>
      </c>
      <c r="G136" s="76" t="str">
        <f t="shared" si="34"/>
        <v>2-CAPO SQUADRA AUSILIARI-F1</v>
      </c>
      <c r="H136" s="76" t="str">
        <f t="shared" si="35"/>
        <v>F1-CAPO SQUADRA AUSILIARI-1-2-F1</v>
      </c>
      <c r="I136" s="76">
        <f t="shared" si="28"/>
        <v>58</v>
      </c>
      <c r="J136" s="76">
        <f>COUNTIF($A$6:A136,"="&amp;A136)</f>
        <v>2</v>
      </c>
      <c r="K136" s="76" t="str">
        <f>EDR1!D166</f>
        <v>CAPO SQUADRA AUSILIARI</v>
      </c>
      <c r="L136" s="76" t="str">
        <f>EDR1!C166</f>
        <v>F1</v>
      </c>
      <c r="M136" s="76" t="str">
        <f>EDR1!E166</f>
        <v>Capo Squadra Manovali r.e.</v>
      </c>
      <c r="N136" s="76"/>
      <c r="O136" s="76"/>
      <c r="P136" s="82">
        <f>VLOOKUP(L136&amp;$K$2&amp;K136&amp;$K$2&amp;M136,EDR1!$A$36:$Q$268,16,FALSE)</f>
        <v>30</v>
      </c>
      <c r="Q136" s="82">
        <f>VLOOKUP(L136&amp;$K$2&amp;K136&amp;$K$2&amp;M136,EDR1!$A$36:$Q$268,17,FALSE)</f>
        <v>65</v>
      </c>
      <c r="R136" s="77">
        <f t="shared" si="29"/>
        <v>131</v>
      </c>
      <c r="S136" s="80">
        <f t="shared" si="30"/>
      </c>
      <c r="T136" s="77">
        <f t="shared" si="31"/>
      </c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</row>
    <row r="137" spans="1:33" ht="12.75" hidden="1">
      <c r="A137" s="76" t="str">
        <f t="shared" si="32"/>
        <v>F1-CAPO SQUADRA AUSILIARI</v>
      </c>
      <c r="B137" s="81" t="str">
        <f t="shared" si="25"/>
        <v>3-F1</v>
      </c>
      <c r="C137" s="81">
        <f>COUNTIF($B$6:B137,"="&amp;B137)</f>
        <v>1</v>
      </c>
      <c r="D137" s="81" t="str">
        <f t="shared" si="26"/>
        <v>1-3-F1</v>
      </c>
      <c r="E137" s="76" t="str">
        <f t="shared" si="33"/>
        <v>CAPO SQUADRA AUSILIARI-Ex profilo non previsto</v>
      </c>
      <c r="F137" s="76" t="str">
        <f t="shared" si="27"/>
        <v>CAPO SQUADRA AUSILIARI-F1-Ex profilo non previsto</v>
      </c>
      <c r="G137" s="76" t="str">
        <f t="shared" si="34"/>
        <v>3-CAPO SQUADRA AUSILIARI-F1</v>
      </c>
      <c r="H137" s="76" t="str">
        <f t="shared" si="35"/>
        <v>F1-CAPO SQUADRA AUSILIARI-1-3-F1</v>
      </c>
      <c r="I137" s="76">
        <f t="shared" si="28"/>
        <v>58</v>
      </c>
      <c r="J137" s="76">
        <f>COUNTIF($A$6:A137,"="&amp;A137)</f>
        <v>3</v>
      </c>
      <c r="K137" s="76" t="str">
        <f>EDR1!D167</f>
        <v>CAPO SQUADRA AUSILIARI</v>
      </c>
      <c r="L137" s="76" t="str">
        <f>EDR1!C167</f>
        <v>F1</v>
      </c>
      <c r="M137" s="76" t="str">
        <f>EDR1!E167</f>
        <v>Ex profilo non previsto</v>
      </c>
      <c r="N137" s="76"/>
      <c r="O137" s="76"/>
      <c r="P137" s="82">
        <f>VLOOKUP(L137&amp;$K$2&amp;K137&amp;$K$2&amp;M137,EDR1!$A$36:$Q$268,16,FALSE)</f>
        <v>30</v>
      </c>
      <c r="Q137" s="82">
        <f>VLOOKUP(L137&amp;$K$2&amp;K137&amp;$K$2&amp;M137,EDR1!$A$36:$Q$268,17,FALSE)</f>
        <v>65</v>
      </c>
      <c r="R137" s="77">
        <f t="shared" si="29"/>
        <v>132</v>
      </c>
      <c r="S137" s="80">
        <f t="shared" si="30"/>
      </c>
      <c r="T137" s="77">
        <f t="shared" si="31"/>
      </c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</row>
    <row r="138" spans="1:33" ht="12.75" hidden="1">
      <c r="A138" s="76" t="str">
        <f t="shared" si="32"/>
        <v>F1-DISPENSIERE</v>
      </c>
      <c r="B138" s="81" t="str">
        <f t="shared" si="25"/>
        <v>1-F1</v>
      </c>
      <c r="C138" s="81">
        <f>COUNTIF($B$6:B138,"="&amp;B138)</f>
        <v>3</v>
      </c>
      <c r="D138" s="81" t="str">
        <f t="shared" si="26"/>
        <v>3-1-F1</v>
      </c>
      <c r="E138" s="76" t="str">
        <f t="shared" si="33"/>
        <v>DISPENSIERE-Dispensiere</v>
      </c>
      <c r="F138" s="76" t="str">
        <f t="shared" si="27"/>
        <v>DISPENSIERE-F1-Dispensiere</v>
      </c>
      <c r="G138" s="76" t="str">
        <f t="shared" si="34"/>
        <v>1-DISPENSIERE-F1</v>
      </c>
      <c r="H138" s="76" t="str">
        <f t="shared" si="35"/>
        <v>F1-DISPENSIERE-3-1-F1</v>
      </c>
      <c r="I138" s="76">
        <f t="shared" si="28"/>
        <v>59</v>
      </c>
      <c r="J138" s="76">
        <f>COUNTIF($A$6:A138,"="&amp;A138)</f>
        <v>1</v>
      </c>
      <c r="K138" s="76" t="str">
        <f>EDR1!D168</f>
        <v>DISPENSIERE</v>
      </c>
      <c r="L138" s="76" t="str">
        <f>EDR1!C168</f>
        <v>F1</v>
      </c>
      <c r="M138" s="76" t="str">
        <f>EDR1!E168</f>
        <v>Dispensiere</v>
      </c>
      <c r="N138" s="76"/>
      <c r="O138" s="76"/>
      <c r="P138" s="82">
        <f>VLOOKUP(L138&amp;$K$2&amp;K138&amp;$K$2&amp;M138,EDR1!$A$36:$Q$268,16,FALSE)</f>
        <v>30</v>
      </c>
      <c r="Q138" s="82">
        <f>VLOOKUP(L138&amp;$K$2&amp;K138&amp;$K$2&amp;M138,EDR1!$A$36:$Q$268,17,FALSE)</f>
        <v>65</v>
      </c>
      <c r="R138" s="77">
        <f t="shared" si="29"/>
        <v>133</v>
      </c>
      <c r="S138" s="80">
        <f t="shared" si="30"/>
      </c>
      <c r="T138" s="77">
        <f t="shared" si="31"/>
      </c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</row>
    <row r="139" spans="1:33" ht="12.75" hidden="1">
      <c r="A139" s="76" t="str">
        <f t="shared" si="32"/>
        <v>F1-INFERMIERE</v>
      </c>
      <c r="B139" s="81" t="str">
        <f t="shared" si="25"/>
        <v>1-F1</v>
      </c>
      <c r="C139" s="81">
        <f>COUNTIF($B$6:B139,"="&amp;B139)</f>
        <v>4</v>
      </c>
      <c r="D139" s="81" t="str">
        <f t="shared" si="26"/>
        <v>4-1-F1</v>
      </c>
      <c r="E139" s="76" t="str">
        <f t="shared" si="33"/>
        <v>INFERMIERE-Ex profilo non previsto</v>
      </c>
      <c r="F139" s="76" t="str">
        <f t="shared" si="27"/>
        <v>INFERMIERE-F1-Ex profilo non previsto</v>
      </c>
      <c r="G139" s="76" t="str">
        <f t="shared" si="34"/>
        <v>1-INFERMIERE-F1</v>
      </c>
      <c r="H139" s="76" t="str">
        <f t="shared" si="35"/>
        <v>F1-INFERMIERE-4-1-F1</v>
      </c>
      <c r="I139" s="76">
        <f t="shared" si="28"/>
        <v>60</v>
      </c>
      <c r="J139" s="76">
        <f>COUNTIF($A$6:A139,"="&amp;A139)</f>
        <v>1</v>
      </c>
      <c r="K139" s="76" t="str">
        <f>EDR1!D169</f>
        <v>INFERMIERE</v>
      </c>
      <c r="L139" s="76" t="str">
        <f>EDR1!C169</f>
        <v>F1</v>
      </c>
      <c r="M139" s="76" t="str">
        <f>EDR1!E169</f>
        <v>Ex profilo non previsto</v>
      </c>
      <c r="N139" s="76"/>
      <c r="O139" s="76"/>
      <c r="P139" s="82">
        <f>VLOOKUP(L139&amp;$K$2&amp;K139&amp;$K$2&amp;M139,EDR1!$A$36:$Q$268,16,FALSE)</f>
        <v>30</v>
      </c>
      <c r="Q139" s="82">
        <f>VLOOKUP(L139&amp;$K$2&amp;K139&amp;$K$2&amp;M139,EDR1!$A$36:$Q$268,17,FALSE)</f>
        <v>65</v>
      </c>
      <c r="R139" s="77">
        <f t="shared" si="29"/>
        <v>134</v>
      </c>
      <c r="S139" s="80">
        <f t="shared" si="30"/>
      </c>
      <c r="T139" s="77">
        <f t="shared" si="31"/>
      </c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</row>
    <row r="140" spans="1:33" ht="12.75" hidden="1">
      <c r="A140" s="76" t="str">
        <f t="shared" si="32"/>
        <v>F1-INGRASSATORE</v>
      </c>
      <c r="B140" s="81" t="str">
        <f t="shared" si="25"/>
        <v>1-F1</v>
      </c>
      <c r="C140" s="81">
        <f>COUNTIF($B$6:B140,"="&amp;B140)</f>
        <v>5</v>
      </c>
      <c r="D140" s="81" t="str">
        <f t="shared" si="26"/>
        <v>5-1-F1</v>
      </c>
      <c r="E140" s="76" t="str">
        <f t="shared" si="33"/>
        <v>INGRASSATORE-Ingrassatore (par. 156)</v>
      </c>
      <c r="F140" s="76" t="str">
        <f t="shared" si="27"/>
        <v>INGRASSATORE-F1-Ingrassatore (par. 156)</v>
      </c>
      <c r="G140" s="76" t="str">
        <f t="shared" si="34"/>
        <v>1-INGRASSATORE-F1</v>
      </c>
      <c r="H140" s="76" t="str">
        <f t="shared" si="35"/>
        <v>F1-INGRASSATORE-5-1-F1</v>
      </c>
      <c r="I140" s="76">
        <f t="shared" si="28"/>
        <v>61</v>
      </c>
      <c r="J140" s="76">
        <f>COUNTIF($A$6:A140,"="&amp;A140)</f>
        <v>1</v>
      </c>
      <c r="K140" s="76" t="str">
        <f>EDR1!D170</f>
        <v>INGRASSATORE</v>
      </c>
      <c r="L140" s="76" t="str">
        <f>EDR1!C170</f>
        <v>F1</v>
      </c>
      <c r="M140" s="76" t="str">
        <f>EDR1!E170</f>
        <v>Ingrassatore (par. 156)</v>
      </c>
      <c r="N140" s="76"/>
      <c r="O140" s="76"/>
      <c r="P140" s="82">
        <f>VLOOKUP(L140&amp;$K$2&amp;K140&amp;$K$2&amp;M140,EDR1!$A$36:$Q$268,16,FALSE)</f>
        <v>25</v>
      </c>
      <c r="Q140" s="82">
        <f>VLOOKUP(L140&amp;$K$2&amp;K140&amp;$K$2&amp;M140,EDR1!$A$36:$Q$268,17,FALSE)</f>
        <v>58</v>
      </c>
      <c r="R140" s="77">
        <f t="shared" si="29"/>
        <v>135</v>
      </c>
      <c r="S140" s="80">
        <f t="shared" si="30"/>
      </c>
      <c r="T140" s="77">
        <f t="shared" si="31"/>
      </c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</row>
    <row r="141" spans="1:33" ht="12.75" hidden="1">
      <c r="A141" s="76" t="str">
        <f t="shared" si="32"/>
        <v>F1-MARINAIO</v>
      </c>
      <c r="B141" s="81" t="str">
        <f t="shared" si="25"/>
        <v>1-F1</v>
      </c>
      <c r="C141" s="81">
        <f>COUNTIF($B$6:B141,"="&amp;B141)</f>
        <v>6</v>
      </c>
      <c r="D141" s="81" t="str">
        <f t="shared" si="26"/>
        <v>6-1-F1</v>
      </c>
      <c r="E141" s="76" t="str">
        <f t="shared" si="33"/>
        <v>MARINAIO-Marinaio (par. 156)</v>
      </c>
      <c r="F141" s="76" t="str">
        <f t="shared" si="27"/>
        <v>MARINAIO-F1-Marinaio (par. 156)</v>
      </c>
      <c r="G141" s="76" t="str">
        <f t="shared" si="34"/>
        <v>1-MARINAIO-F1</v>
      </c>
      <c r="H141" s="76" t="str">
        <f t="shared" si="35"/>
        <v>F1-MARINAIO-6-1-F1</v>
      </c>
      <c r="I141" s="76">
        <f t="shared" si="28"/>
        <v>62</v>
      </c>
      <c r="J141" s="76">
        <f>COUNTIF($A$6:A141,"="&amp;A141)</f>
        <v>1</v>
      </c>
      <c r="K141" s="76" t="str">
        <f>EDR1!D171</f>
        <v>MARINAIO</v>
      </c>
      <c r="L141" s="76" t="str">
        <f>EDR1!C171</f>
        <v>F1</v>
      </c>
      <c r="M141" s="76" t="str">
        <f>EDR1!E171</f>
        <v>Marinaio (par. 156)</v>
      </c>
      <c r="N141" s="76"/>
      <c r="O141" s="76"/>
      <c r="P141" s="82">
        <f>VLOOKUP(L141&amp;$K$2&amp;K141&amp;$K$2&amp;M141,EDR1!$A$36:$Q$268,16,FALSE)</f>
        <v>25</v>
      </c>
      <c r="Q141" s="82">
        <f>VLOOKUP(L141&amp;$K$2&amp;K141&amp;$K$2&amp;M141,EDR1!$A$36:$Q$268,17,FALSE)</f>
        <v>58</v>
      </c>
      <c r="R141" s="77">
        <f t="shared" si="29"/>
        <v>136</v>
      </c>
      <c r="S141" s="80">
        <f t="shared" si="30"/>
      </c>
      <c r="T141" s="77">
        <f t="shared" si="31"/>
      </c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</row>
    <row r="142" spans="1:33" ht="12.75" hidden="1">
      <c r="A142" s="76" t="str">
        <f t="shared" si="32"/>
        <v>F1-OPERATORE SPECIALIZZATO DI BORDO</v>
      </c>
      <c r="B142" s="81" t="str">
        <f t="shared" si="25"/>
        <v>1-F1</v>
      </c>
      <c r="C142" s="81">
        <f>COUNTIF($B$6:B142,"="&amp;B142)</f>
        <v>7</v>
      </c>
      <c r="D142" s="81" t="str">
        <f t="shared" si="26"/>
        <v>7-1-F1</v>
      </c>
      <c r="E142" s="76" t="str">
        <f t="shared" si="33"/>
        <v>OPERATORE SPECIALIZZATO DI BORDO-Conduttore (par. 156)</v>
      </c>
      <c r="F142" s="76" t="str">
        <f t="shared" si="27"/>
        <v>OPERATORE SPECIALIZZATO DI BORDO-F1-Conduttore (par. 156)</v>
      </c>
      <c r="G142" s="76" t="str">
        <f t="shared" si="34"/>
        <v>1-OPERATORE SPECIALIZZATO DI BORDO-F1</v>
      </c>
      <c r="H142" s="76" t="str">
        <f t="shared" si="35"/>
        <v>F1-OPERATORE SPECIALIZZATO DI BORDO-7-1-F1</v>
      </c>
      <c r="I142" s="76">
        <f t="shared" si="28"/>
        <v>63</v>
      </c>
      <c r="J142" s="76">
        <f>COUNTIF($A$6:A142,"="&amp;A142)</f>
        <v>1</v>
      </c>
      <c r="K142" s="76" t="str">
        <f>EDR1!D172</f>
        <v>OPERATORE SPECIALIZZATO DI BORDO</v>
      </c>
      <c r="L142" s="76" t="str">
        <f>EDR1!C172</f>
        <v>F1</v>
      </c>
      <c r="M142" s="76" t="str">
        <f>EDR1!E172</f>
        <v>Conduttore (par. 156)</v>
      </c>
      <c r="N142" s="76"/>
      <c r="O142" s="76"/>
      <c r="P142" s="82">
        <f>VLOOKUP(L142&amp;$K$2&amp;K142&amp;$K$2&amp;M142,EDR1!$A$36:$Q$268,16,FALSE)</f>
        <v>25</v>
      </c>
      <c r="Q142" s="82">
        <f>VLOOKUP(L142&amp;$K$2&amp;K142&amp;$K$2&amp;M142,EDR1!$A$36:$Q$268,17,FALSE)</f>
        <v>58</v>
      </c>
      <c r="R142" s="77">
        <f t="shared" si="29"/>
        <v>137</v>
      </c>
      <c r="S142" s="80">
        <f t="shared" si="30"/>
      </c>
      <c r="T142" s="77">
        <f t="shared" si="31"/>
      </c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</row>
    <row r="143" spans="1:33" ht="12.75" hidden="1">
      <c r="A143" s="76" t="str">
        <f t="shared" si="32"/>
        <v>F1-OPERATORE SPECIALIZZATO DI BORDO</v>
      </c>
      <c r="B143" s="81" t="str">
        <f t="shared" si="25"/>
        <v>2-F1</v>
      </c>
      <c r="C143" s="81">
        <f>COUNTIF($B$6:B143,"="&amp;B143)</f>
        <v>2</v>
      </c>
      <c r="D143" s="81" t="str">
        <f t="shared" si="26"/>
        <v>2-2-F1</v>
      </c>
      <c r="E143" s="76" t="str">
        <f t="shared" si="33"/>
        <v>OPERATORE SPECIALIZZATO DI BORDO-Ex profilo non previsto</v>
      </c>
      <c r="F143" s="76" t="str">
        <f t="shared" si="27"/>
        <v>OPERATORE SPECIALIZZATO DI BORDO-F1-Ex profilo non previsto</v>
      </c>
      <c r="G143" s="76" t="str">
        <f t="shared" si="34"/>
        <v>2-OPERATORE SPECIALIZZATO DI BORDO-F1</v>
      </c>
      <c r="H143" s="76" t="str">
        <f t="shared" si="35"/>
        <v>F1-OPERATORE SPECIALIZZATO DI BORDO-2-2-F1</v>
      </c>
      <c r="I143" s="76">
        <f t="shared" si="28"/>
        <v>63</v>
      </c>
      <c r="J143" s="76">
        <f>COUNTIF($A$6:A143,"="&amp;A143)</f>
        <v>2</v>
      </c>
      <c r="K143" s="76" t="str">
        <f>EDR1!D173</f>
        <v>OPERATORE SPECIALIZZATO DI BORDO</v>
      </c>
      <c r="L143" s="76" t="str">
        <f>EDR1!C173</f>
        <v>F1</v>
      </c>
      <c r="M143" s="76" t="str">
        <f>EDR1!E173</f>
        <v>Ex profilo non previsto</v>
      </c>
      <c r="N143" s="76"/>
      <c r="O143" s="76"/>
      <c r="P143" s="82">
        <f>VLOOKUP(L143&amp;$K$2&amp;K143&amp;$K$2&amp;M143,EDR1!$A$36:$Q$268,16,FALSE)</f>
        <v>30</v>
      </c>
      <c r="Q143" s="82">
        <f>VLOOKUP(L143&amp;$K$2&amp;K143&amp;$K$2&amp;M143,EDR1!$A$36:$Q$268,17,FALSE)</f>
        <v>65</v>
      </c>
      <c r="R143" s="77">
        <f t="shared" si="29"/>
        <v>138</v>
      </c>
      <c r="S143" s="80">
        <f t="shared" si="30"/>
      </c>
      <c r="T143" s="77">
        <f t="shared" si="31"/>
      </c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</row>
    <row r="144" spans="1:33" ht="12.75" hidden="1">
      <c r="A144" s="76" t="str">
        <f t="shared" si="32"/>
        <v>F1-OPERATORE SANITARIO SPECIALIZZATO</v>
      </c>
      <c r="B144" s="81" t="str">
        <f t="shared" si="25"/>
        <v>1-F1</v>
      </c>
      <c r="C144" s="81">
        <f>COUNTIF($B$6:B144,"="&amp;B144)</f>
        <v>8</v>
      </c>
      <c r="D144" s="81" t="str">
        <f t="shared" si="26"/>
        <v>8-1-F1</v>
      </c>
      <c r="E144" s="76" t="str">
        <f t="shared" si="33"/>
        <v>OPERATORE SANITARIO SPECIALIZZATO-Operatore Sanitario (par. 156)</v>
      </c>
      <c r="F144" s="76" t="str">
        <f t="shared" si="27"/>
        <v>OPERATORE SANITARIO SPECIALIZZATO-F1-Operatore Sanitario (par. 156)</v>
      </c>
      <c r="G144" s="76" t="str">
        <f t="shared" si="34"/>
        <v>1-OPERATORE SANITARIO SPECIALIZZATO-F1</v>
      </c>
      <c r="H144" s="76" t="str">
        <f t="shared" si="35"/>
        <v>F1-OPERATORE SANITARIO SPECIALIZZATO-8-1-F1</v>
      </c>
      <c r="I144" s="76">
        <f t="shared" si="28"/>
        <v>64</v>
      </c>
      <c r="J144" s="76">
        <f>COUNTIF($A$6:A144,"="&amp;A144)</f>
        <v>1</v>
      </c>
      <c r="K144" s="76" t="str">
        <f>EDR1!D174</f>
        <v>OPERATORE SANITARIO SPECIALIZZATO</v>
      </c>
      <c r="L144" s="76" t="str">
        <f>EDR1!C174</f>
        <v>F1</v>
      </c>
      <c r="M144" s="76" t="str">
        <f>EDR1!E174</f>
        <v>Operatore Sanitario (par. 156)</v>
      </c>
      <c r="N144" s="76"/>
      <c r="O144" s="76"/>
      <c r="P144" s="82">
        <f>VLOOKUP(L144&amp;$K$2&amp;K144&amp;$K$2&amp;M144,EDR1!$A$36:$Q$268,16,FALSE)</f>
        <v>30</v>
      </c>
      <c r="Q144" s="82">
        <f>VLOOKUP(L144&amp;$K$2&amp;K144&amp;$K$2&amp;M144,EDR1!$A$36:$Q$268,17,FALSE)</f>
        <v>65</v>
      </c>
      <c r="R144" s="77">
        <f t="shared" si="29"/>
        <v>139</v>
      </c>
      <c r="S144" s="80">
        <f t="shared" si="30"/>
      </c>
      <c r="T144" s="77">
        <f t="shared" si="31"/>
      </c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</row>
    <row r="145" spans="1:33" ht="12.75" hidden="1">
      <c r="A145" s="76" t="str">
        <f t="shared" si="32"/>
        <v>F1-OPERATORE SANITARIO SPECIALIZZATO</v>
      </c>
      <c r="B145" s="81" t="str">
        <f t="shared" si="25"/>
        <v>2-F1</v>
      </c>
      <c r="C145" s="81">
        <f>COUNTIF($B$6:B145,"="&amp;B145)</f>
        <v>3</v>
      </c>
      <c r="D145" s="81" t="str">
        <f t="shared" si="26"/>
        <v>3-2-F1</v>
      </c>
      <c r="E145" s="76" t="str">
        <f t="shared" si="33"/>
        <v>OPERATORE SANITARIO SPECIALIZZATO-Ex profilo non previsto</v>
      </c>
      <c r="F145" s="76" t="str">
        <f t="shared" si="27"/>
        <v>OPERATORE SANITARIO SPECIALIZZATO-F1-Ex profilo non previsto</v>
      </c>
      <c r="G145" s="76" t="str">
        <f t="shared" si="34"/>
        <v>2-OPERATORE SANITARIO SPECIALIZZATO-F1</v>
      </c>
      <c r="H145" s="76" t="str">
        <f t="shared" si="35"/>
        <v>F1-OPERATORE SANITARIO SPECIALIZZATO-3-2-F1</v>
      </c>
      <c r="I145" s="76">
        <f t="shared" si="28"/>
        <v>64</v>
      </c>
      <c r="J145" s="76">
        <f>COUNTIF($A$6:A145,"="&amp;A145)</f>
        <v>2</v>
      </c>
      <c r="K145" s="76" t="str">
        <f>EDR1!D175</f>
        <v>OPERATORE SANITARIO SPECIALIZZATO</v>
      </c>
      <c r="L145" s="76" t="str">
        <f>EDR1!C175</f>
        <v>F1</v>
      </c>
      <c r="M145" s="76" t="str">
        <f>EDR1!E175</f>
        <v>Ex profilo non previsto</v>
      </c>
      <c r="N145" s="76"/>
      <c r="O145" s="76"/>
      <c r="P145" s="82">
        <f>VLOOKUP(L145&amp;$K$2&amp;K145&amp;$K$2&amp;M145,EDR1!$A$36:$Q$268,16,FALSE)</f>
        <v>30</v>
      </c>
      <c r="Q145" s="82">
        <f>VLOOKUP(L145&amp;$K$2&amp;K145&amp;$K$2&amp;M145,EDR1!$A$36:$Q$268,17,FALSE)</f>
        <v>65</v>
      </c>
      <c r="R145" s="77">
        <f t="shared" si="29"/>
        <v>140</v>
      </c>
      <c r="S145" s="80">
        <f t="shared" si="30"/>
      </c>
      <c r="T145" s="77">
        <f t="shared" si="31"/>
      </c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</row>
    <row r="146" spans="1:33" ht="12.75" hidden="1">
      <c r="A146" s="76" t="str">
        <f t="shared" si="32"/>
        <v>F1-OPERATORE SPEC.TO MANUTENZIONE</v>
      </c>
      <c r="B146" s="81" t="str">
        <f t="shared" si="25"/>
        <v>1-F1</v>
      </c>
      <c r="C146" s="81">
        <f>COUNTIF($B$6:B146,"="&amp;B146)</f>
        <v>9</v>
      </c>
      <c r="D146" s="81" t="str">
        <f t="shared" si="26"/>
        <v>9-1-F1</v>
      </c>
      <c r="E146" s="76" t="str">
        <f t="shared" si="33"/>
        <v>OPERATORE SPEC.TO MANUTENZIONE-Tecnico (par. 156)</v>
      </c>
      <c r="F146" s="76" t="str">
        <f t="shared" si="27"/>
        <v>OPERATORE SPEC.TO MANUTENZIONE-F1-Tecnico (par. 156)</v>
      </c>
      <c r="G146" s="76" t="str">
        <f t="shared" si="34"/>
        <v>1-OPERATORE SPEC.TO MANUTENZIONE-F1</v>
      </c>
      <c r="H146" s="76" t="str">
        <f t="shared" si="35"/>
        <v>F1-OPERATORE SPEC.TO MANUTENZIONE-9-1-F1</v>
      </c>
      <c r="I146" s="76">
        <f t="shared" si="28"/>
        <v>65</v>
      </c>
      <c r="J146" s="76">
        <f>COUNTIF($A$6:A146,"="&amp;A146)</f>
        <v>1</v>
      </c>
      <c r="K146" s="76" t="str">
        <f>EDR1!D176</f>
        <v>OPERATORE SPEC.TO MANUTENZIONE</v>
      </c>
      <c r="L146" s="76" t="str">
        <f>EDR1!C176</f>
        <v>F1</v>
      </c>
      <c r="M146" s="76" t="str">
        <f>EDR1!E176</f>
        <v>Tecnico (par. 156)</v>
      </c>
      <c r="N146" s="76"/>
      <c r="O146" s="76"/>
      <c r="P146" s="82">
        <f>VLOOKUP(L146&amp;$K$2&amp;K146&amp;$K$2&amp;M146,EDR1!$A$36:$Q$268,16,FALSE)</f>
        <v>30</v>
      </c>
      <c r="Q146" s="82">
        <f>VLOOKUP(L146&amp;$K$2&amp;K146&amp;$K$2&amp;M146,EDR1!$A$36:$Q$268,17,FALSE)</f>
        <v>65</v>
      </c>
      <c r="R146" s="77">
        <f t="shared" si="29"/>
        <v>141</v>
      </c>
      <c r="S146" s="80">
        <f t="shared" si="30"/>
      </c>
      <c r="T146" s="77">
        <f t="shared" si="31"/>
      </c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</row>
    <row r="147" spans="1:33" ht="12.75" hidden="1">
      <c r="A147" s="76" t="str">
        <f t="shared" si="32"/>
        <v>F1-OPERATORE SPEC.TO MANUTENZIONE</v>
      </c>
      <c r="B147" s="81" t="str">
        <f t="shared" si="25"/>
        <v>2-F1</v>
      </c>
      <c r="C147" s="81">
        <f>COUNTIF($B$6:B147,"="&amp;B147)</f>
        <v>4</v>
      </c>
      <c r="D147" s="81" t="str">
        <f t="shared" si="26"/>
        <v>4-2-F1</v>
      </c>
      <c r="E147" s="76" t="str">
        <f t="shared" si="33"/>
        <v>OPERATORE SPEC.TO MANUTENZIONE-Operatore della Manutenzione (par. 156)</v>
      </c>
      <c r="F147" s="76" t="str">
        <f t="shared" si="27"/>
        <v>OPERATORE SPEC.TO MANUTENZIONE-F1-Operatore della Manutenzione (par. 156)</v>
      </c>
      <c r="G147" s="76" t="str">
        <f t="shared" si="34"/>
        <v>2-OPERATORE SPEC.TO MANUTENZIONE-F1</v>
      </c>
      <c r="H147" s="76" t="str">
        <f t="shared" si="35"/>
        <v>F1-OPERATORE SPEC.TO MANUTENZIONE-4-2-F1</v>
      </c>
      <c r="I147" s="76">
        <f t="shared" si="28"/>
        <v>65</v>
      </c>
      <c r="J147" s="76">
        <f>COUNTIF($A$6:A147,"="&amp;A147)</f>
        <v>2</v>
      </c>
      <c r="K147" s="76" t="str">
        <f>EDR1!D177</f>
        <v>OPERATORE SPEC.TO MANUTENZIONE</v>
      </c>
      <c r="L147" s="76" t="str">
        <f>EDR1!C177</f>
        <v>F1</v>
      </c>
      <c r="M147" s="76" t="str">
        <f>EDR1!E177</f>
        <v>Operatore della Manutenzione (par. 156)</v>
      </c>
      <c r="N147" s="76"/>
      <c r="O147" s="76"/>
      <c r="P147" s="82">
        <f>VLOOKUP(L147&amp;$K$2&amp;K147&amp;$K$2&amp;M147,EDR1!$A$36:$Q$268,16,FALSE)</f>
        <v>25</v>
      </c>
      <c r="Q147" s="82">
        <f>VLOOKUP(L147&amp;$K$2&amp;K147&amp;$K$2&amp;M147,EDR1!$A$36:$Q$268,17,FALSE)</f>
        <v>65</v>
      </c>
      <c r="R147" s="77">
        <f t="shared" si="29"/>
        <v>142</v>
      </c>
      <c r="S147" s="80">
        <f t="shared" si="30"/>
      </c>
      <c r="T147" s="77">
        <f t="shared" si="31"/>
      </c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</row>
    <row r="148" spans="1:33" ht="12.75" hidden="1">
      <c r="A148" s="76" t="str">
        <f t="shared" si="32"/>
        <v>F1-OPERATORE SPEC.TO MANUTENZIONE</v>
      </c>
      <c r="B148" s="81" t="str">
        <f t="shared" si="25"/>
        <v>3-F1</v>
      </c>
      <c r="C148" s="81">
        <f>COUNTIF($B$6:B148,"="&amp;B148)</f>
        <v>2</v>
      </c>
      <c r="D148" s="81" t="str">
        <f t="shared" si="26"/>
        <v>2-3-F1</v>
      </c>
      <c r="E148" s="76" t="str">
        <f t="shared" si="33"/>
        <v>OPERATORE SPEC.TO MANUTENZIONE-Assistente di Magazzino (par. 156)</v>
      </c>
      <c r="F148" s="76" t="str">
        <f t="shared" si="27"/>
        <v>OPERATORE SPEC.TO MANUTENZIONE-F1-Assistente di Magazzino (par. 156)</v>
      </c>
      <c r="G148" s="76" t="str">
        <f t="shared" si="34"/>
        <v>3-OPERATORE SPEC.TO MANUTENZIONE-F1</v>
      </c>
      <c r="H148" s="76" t="str">
        <f t="shared" si="35"/>
        <v>F1-OPERATORE SPEC.TO MANUTENZIONE-2-3-F1</v>
      </c>
      <c r="I148" s="76">
        <f t="shared" si="28"/>
        <v>65</v>
      </c>
      <c r="J148" s="76">
        <f>COUNTIF($A$6:A148,"="&amp;A148)</f>
        <v>3</v>
      </c>
      <c r="K148" s="76" t="str">
        <f>EDR1!D178</f>
        <v>OPERATORE SPEC.TO MANUTENZIONE</v>
      </c>
      <c r="L148" s="76" t="str">
        <f>EDR1!C178</f>
        <v>F1</v>
      </c>
      <c r="M148" s="76" t="str">
        <f>EDR1!E178</f>
        <v>Assistente di Magazzino (par. 156)</v>
      </c>
      <c r="N148" s="76"/>
      <c r="O148" s="76"/>
      <c r="P148" s="82">
        <f>VLOOKUP(L148&amp;$K$2&amp;K148&amp;$K$2&amp;M148,EDR1!$A$36:$Q$268,16,FALSE)</f>
        <v>30</v>
      </c>
      <c r="Q148" s="82">
        <f>VLOOKUP(L148&amp;$K$2&amp;K148&amp;$K$2&amp;M148,EDR1!$A$36:$Q$268,17,FALSE)</f>
        <v>65</v>
      </c>
      <c r="R148" s="77">
        <f t="shared" si="29"/>
        <v>143</v>
      </c>
      <c r="S148" s="80">
        <f t="shared" si="30"/>
      </c>
      <c r="T148" s="77">
        <f t="shared" si="31"/>
      </c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</row>
    <row r="149" spans="1:33" ht="12.75" hidden="1">
      <c r="A149" s="76" t="str">
        <f t="shared" si="32"/>
        <v>F1-OPERATORE SPEC.TO MANUTENZIONE</v>
      </c>
      <c r="B149" s="81" t="str">
        <f t="shared" si="25"/>
        <v>4-F1</v>
      </c>
      <c r="C149" s="81">
        <f>COUNTIF($B$6:B149,"="&amp;B149)</f>
        <v>1</v>
      </c>
      <c r="D149" s="81" t="str">
        <f t="shared" si="26"/>
        <v>1-4-F1</v>
      </c>
      <c r="E149" s="76" t="str">
        <f t="shared" si="33"/>
        <v>OPERATORE SPEC.TO MANUTENZIONE-Assistente di Deposito (par. 156)</v>
      </c>
      <c r="F149" s="76" t="str">
        <f t="shared" si="27"/>
        <v>OPERATORE SPEC.TO MANUTENZIONE-F1-Assistente di Deposito (par. 156)</v>
      </c>
      <c r="G149" s="76" t="str">
        <f t="shared" si="34"/>
        <v>4-OPERATORE SPEC.TO MANUTENZIONE-F1</v>
      </c>
      <c r="H149" s="76" t="str">
        <f t="shared" si="35"/>
        <v>F1-OPERATORE SPEC.TO MANUTENZIONE-1-4-F1</v>
      </c>
      <c r="I149" s="76">
        <f t="shared" si="28"/>
        <v>65</v>
      </c>
      <c r="J149" s="76">
        <f>COUNTIF($A$6:A149,"="&amp;A149)</f>
        <v>4</v>
      </c>
      <c r="K149" s="76" t="str">
        <f>EDR1!D179</f>
        <v>OPERATORE SPEC.TO MANUTENZIONE</v>
      </c>
      <c r="L149" s="76" t="str">
        <f>EDR1!C179</f>
        <v>F1</v>
      </c>
      <c r="M149" s="76" t="str">
        <f>EDR1!E179</f>
        <v>Assistente di Deposito (par. 156)</v>
      </c>
      <c r="N149" s="76"/>
      <c r="O149" s="76"/>
      <c r="P149" s="82">
        <f>VLOOKUP(L149&amp;$K$2&amp;K149&amp;$K$2&amp;M149,EDR1!$A$36:$Q$268,16,FALSE)</f>
        <v>25</v>
      </c>
      <c r="Q149" s="82">
        <f>VLOOKUP(L149&amp;$K$2&amp;K149&amp;$K$2&amp;M149,EDR1!$A$36:$Q$268,17,FALSE)</f>
        <v>58</v>
      </c>
      <c r="R149" s="77">
        <f t="shared" si="29"/>
        <v>144</v>
      </c>
      <c r="S149" s="80">
        <f t="shared" si="30"/>
      </c>
      <c r="T149" s="77">
        <f t="shared" si="31"/>
      </c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</row>
    <row r="150" spans="1:33" ht="12.75" hidden="1">
      <c r="A150" s="76" t="str">
        <f t="shared" si="32"/>
        <v>F1-OPERATORE SPEC.TO MANUTENZIONE</v>
      </c>
      <c r="B150" s="81" t="str">
        <f t="shared" si="25"/>
        <v>5-F1</v>
      </c>
      <c r="C150" s="81">
        <f>COUNTIF($B$6:B150,"="&amp;B150)</f>
        <v>1</v>
      </c>
      <c r="D150" s="81" t="str">
        <f t="shared" si="26"/>
        <v>1-5-F1</v>
      </c>
      <c r="E150" s="76" t="str">
        <f t="shared" si="33"/>
        <v>OPERATORE SPEC.TO MANUTENZIONE-Manutenzione Infrastrutture</v>
      </c>
      <c r="F150" s="76" t="str">
        <f t="shared" si="27"/>
        <v>OPERATORE SPEC.TO MANUTENZIONE-F1-Manutenzione Infrastrutture</v>
      </c>
      <c r="G150" s="76" t="str">
        <f t="shared" si="34"/>
        <v>5-OPERATORE SPEC.TO MANUTENZIONE-F1</v>
      </c>
      <c r="H150" s="76" t="str">
        <f t="shared" si="35"/>
        <v>F1-OPERATORE SPEC.TO MANUTENZIONE-1-5-F1</v>
      </c>
      <c r="I150" s="76">
        <f t="shared" si="28"/>
        <v>65</v>
      </c>
      <c r="J150" s="76">
        <f>COUNTIF($A$6:A150,"="&amp;A150)</f>
        <v>5</v>
      </c>
      <c r="K150" s="76" t="str">
        <f>EDR1!D180</f>
        <v>OPERATORE SPEC.TO MANUTENZIONE</v>
      </c>
      <c r="L150" s="76" t="str">
        <f>EDR1!C180</f>
        <v>F1</v>
      </c>
      <c r="M150" s="76" t="str">
        <f>EDR1!E180</f>
        <v>Manutenzione Infrastrutture</v>
      </c>
      <c r="N150" s="76"/>
      <c r="O150" s="76"/>
      <c r="P150" s="82">
        <f>VLOOKUP(L150&amp;$K$2&amp;K150&amp;$K$2&amp;M150,EDR1!$A$36:$Q$268,16,FALSE)</f>
        <v>30</v>
      </c>
      <c r="Q150" s="82">
        <f>VLOOKUP(L150&amp;$K$2&amp;K150&amp;$K$2&amp;M150,EDR1!$A$36:$Q$268,17,FALSE)</f>
        <v>65</v>
      </c>
      <c r="R150" s="77">
        <f t="shared" si="29"/>
        <v>145</v>
      </c>
      <c r="S150" s="80">
        <f t="shared" si="30"/>
      </c>
      <c r="T150" s="77">
        <f t="shared" si="31"/>
      </c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</row>
    <row r="151" spans="1:33" ht="12.75" hidden="1">
      <c r="A151" s="76" t="str">
        <f t="shared" si="32"/>
        <v>F1-OPERATORE SPEC.TO MANUTENZIONE</v>
      </c>
      <c r="B151" s="81" t="str">
        <f t="shared" si="25"/>
        <v>6-F1</v>
      </c>
      <c r="C151" s="81">
        <f>COUNTIF($B$6:B151,"="&amp;B151)</f>
        <v>1</v>
      </c>
      <c r="D151" s="81" t="str">
        <f t="shared" si="26"/>
        <v>1-6-F1</v>
      </c>
      <c r="E151" s="76" t="str">
        <f t="shared" si="33"/>
        <v>OPERATORE SPEC.TO MANUTENZIONE-Manutenzione Rotabili</v>
      </c>
      <c r="F151" s="76" t="str">
        <f t="shared" si="27"/>
        <v>OPERATORE SPEC.TO MANUTENZIONE-F1-Manutenzione Rotabili</v>
      </c>
      <c r="G151" s="76" t="str">
        <f t="shared" si="34"/>
        <v>6-OPERATORE SPEC.TO MANUTENZIONE-F1</v>
      </c>
      <c r="H151" s="76" t="str">
        <f t="shared" si="35"/>
        <v>F1-OPERATORE SPEC.TO MANUTENZIONE-1-6-F1</v>
      </c>
      <c r="I151" s="76">
        <f t="shared" si="28"/>
        <v>65</v>
      </c>
      <c r="J151" s="76">
        <f>COUNTIF($A$6:A151,"="&amp;A151)</f>
        <v>6</v>
      </c>
      <c r="K151" s="76" t="str">
        <f>EDR1!D181</f>
        <v>OPERATORE SPEC.TO MANUTENZIONE</v>
      </c>
      <c r="L151" s="76" t="str">
        <f>EDR1!C181</f>
        <v>F1</v>
      </c>
      <c r="M151" s="76" t="str">
        <f>EDR1!E181</f>
        <v>Manutenzione Rotabili</v>
      </c>
      <c r="N151" s="76"/>
      <c r="O151" s="76"/>
      <c r="P151" s="82">
        <f>VLOOKUP(L151&amp;$K$2&amp;K151&amp;$K$2&amp;M151,EDR1!$A$36:$Q$268,16,FALSE)</f>
        <v>30</v>
      </c>
      <c r="Q151" s="82">
        <f>VLOOKUP(L151&amp;$K$2&amp;K151&amp;$K$2&amp;M151,EDR1!$A$36:$Q$268,17,FALSE)</f>
        <v>65</v>
      </c>
      <c r="R151" s="77">
        <f t="shared" si="29"/>
        <v>146</v>
      </c>
      <c r="S151" s="80">
        <f t="shared" si="30"/>
      </c>
      <c r="T151" s="77">
        <f t="shared" si="31"/>
      </c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</row>
    <row r="152" spans="1:33" ht="12.75" hidden="1">
      <c r="A152" s="76" t="str">
        <f t="shared" si="32"/>
        <v>F1-OPERATORE SPEC.TO MANUTENZIONE</v>
      </c>
      <c r="B152" s="81" t="str">
        <f t="shared" si="25"/>
        <v>7-F1</v>
      </c>
      <c r="C152" s="81">
        <f>COUNTIF($B$6:B152,"="&amp;B152)</f>
        <v>1</v>
      </c>
      <c r="D152" s="81" t="str">
        <f t="shared" si="26"/>
        <v>1-7-F1</v>
      </c>
      <c r="E152" s="76" t="str">
        <f t="shared" si="33"/>
        <v>OPERATORE SPEC.TO MANUTENZIONE-Officine Navi Traghetto</v>
      </c>
      <c r="F152" s="76" t="str">
        <f t="shared" si="27"/>
        <v>OPERATORE SPEC.TO MANUTENZIONE-F1-Officine Navi Traghetto</v>
      </c>
      <c r="G152" s="76" t="str">
        <f t="shared" si="34"/>
        <v>7-OPERATORE SPEC.TO MANUTENZIONE-F1</v>
      </c>
      <c r="H152" s="76" t="str">
        <f t="shared" si="35"/>
        <v>F1-OPERATORE SPEC.TO MANUTENZIONE-1-7-F1</v>
      </c>
      <c r="I152" s="76">
        <f t="shared" si="28"/>
        <v>65</v>
      </c>
      <c r="J152" s="76">
        <f>COUNTIF($A$6:A152,"="&amp;A152)</f>
        <v>7</v>
      </c>
      <c r="K152" s="76" t="str">
        <f>EDR1!D182</f>
        <v>OPERATORE SPEC.TO MANUTENZIONE</v>
      </c>
      <c r="L152" s="76" t="str">
        <f>EDR1!C182</f>
        <v>F1</v>
      </c>
      <c r="M152" s="76" t="str">
        <f>EDR1!E182</f>
        <v>Officine Navi Traghetto</v>
      </c>
      <c r="N152" s="76"/>
      <c r="O152" s="76"/>
      <c r="P152" s="82">
        <f>VLOOKUP(L152&amp;$K$2&amp;K152&amp;$K$2&amp;M152,EDR1!$A$36:$Q$268,16,FALSE)</f>
        <v>25</v>
      </c>
      <c r="Q152" s="82">
        <f>VLOOKUP(L152&amp;$K$2&amp;K152&amp;$K$2&amp;M152,EDR1!$A$36:$Q$268,17,FALSE)</f>
        <v>58</v>
      </c>
      <c r="R152" s="77">
        <f t="shared" si="29"/>
        <v>147</v>
      </c>
      <c r="S152" s="80">
        <f t="shared" si="30"/>
      </c>
      <c r="T152" s="77">
        <f t="shared" si="31"/>
      </c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</row>
    <row r="153" spans="1:33" ht="12.75" hidden="1">
      <c r="A153" s="76" t="str">
        <f t="shared" si="32"/>
        <v>F1-OPERATORE SPEC.TO MANUTENZIONE</v>
      </c>
      <c r="B153" s="81" t="str">
        <f t="shared" si="25"/>
        <v>8-F1</v>
      </c>
      <c r="C153" s="81">
        <f>COUNTIF($B$6:B153,"="&amp;B153)</f>
        <v>1</v>
      </c>
      <c r="D153" s="81" t="str">
        <f t="shared" si="26"/>
        <v>1-8-F1</v>
      </c>
      <c r="E153" s="76" t="str">
        <f t="shared" si="33"/>
        <v>OPERATORE SPEC.TO MANUTENZIONE-Officine Nazionali Infrastrutture</v>
      </c>
      <c r="F153" s="76" t="str">
        <f t="shared" si="27"/>
        <v>OPERATORE SPEC.TO MANUTENZIONE-F1-Officine Nazionali Infrastrutture</v>
      </c>
      <c r="G153" s="76" t="str">
        <f t="shared" si="34"/>
        <v>8-OPERATORE SPEC.TO MANUTENZIONE-F1</v>
      </c>
      <c r="H153" s="76" t="str">
        <f t="shared" si="35"/>
        <v>F1-OPERATORE SPEC.TO MANUTENZIONE-1-8-F1</v>
      </c>
      <c r="I153" s="76">
        <f t="shared" si="28"/>
        <v>65</v>
      </c>
      <c r="J153" s="76">
        <f>COUNTIF($A$6:A153,"="&amp;A153)</f>
        <v>8</v>
      </c>
      <c r="K153" s="76" t="str">
        <f>EDR1!D183</f>
        <v>OPERATORE SPEC.TO MANUTENZIONE</v>
      </c>
      <c r="L153" s="76" t="str">
        <f>EDR1!C183</f>
        <v>F1</v>
      </c>
      <c r="M153" s="76" t="str">
        <f>EDR1!E183</f>
        <v>Officine Nazionali Infrastrutture</v>
      </c>
      <c r="N153" s="76"/>
      <c r="O153" s="76"/>
      <c r="P153" s="82">
        <f>VLOOKUP(L153&amp;$K$2&amp;K153&amp;$K$2&amp;M153,EDR1!$A$36:$Q$268,16,FALSE)</f>
        <v>30</v>
      </c>
      <c r="Q153" s="82">
        <f>VLOOKUP(L153&amp;$K$2&amp;K153&amp;$K$2&amp;M153,EDR1!$A$36:$Q$268,17,FALSE)</f>
        <v>65</v>
      </c>
      <c r="R153" s="77">
        <f t="shared" si="29"/>
        <v>148</v>
      </c>
      <c r="S153" s="80">
        <f t="shared" si="30"/>
      </c>
      <c r="T153" s="77">
        <f t="shared" si="31"/>
      </c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</row>
    <row r="154" spans="1:33" ht="12.75" hidden="1">
      <c r="A154" s="76" t="str">
        <f t="shared" si="32"/>
        <v>F1-OPERATORE SPECIALIZZATO CIRCOLAZIONE</v>
      </c>
      <c r="B154" s="81" t="str">
        <f t="shared" si="25"/>
        <v>1-F1</v>
      </c>
      <c r="C154" s="81">
        <f>COUNTIF($B$6:B154,"="&amp;B154)</f>
        <v>10</v>
      </c>
      <c r="D154" s="81" t="str">
        <f t="shared" si="26"/>
        <v>10-1-F1</v>
      </c>
      <c r="E154" s="76" t="str">
        <f t="shared" si="33"/>
        <v>OPERATORE SPECIALIZZATO CIRCOLAZIONE-Aiuto Macchinista r.e.</v>
      </c>
      <c r="F154" s="76" t="str">
        <f t="shared" si="27"/>
        <v>OPERATORE SPECIALIZZATO CIRCOLAZIONE-F1-Aiuto Macchinista r.e.</v>
      </c>
      <c r="G154" s="76" t="str">
        <f t="shared" si="34"/>
        <v>1-OPERATORE SPECIALIZZATO CIRCOLAZIONE-F1</v>
      </c>
      <c r="H154" s="76" t="str">
        <f t="shared" si="35"/>
        <v>F1-OPERATORE SPECIALIZZATO CIRCOLAZIONE-10-1-F1</v>
      </c>
      <c r="I154" s="76">
        <f t="shared" si="28"/>
        <v>66</v>
      </c>
      <c r="J154" s="76">
        <f>COUNTIF($A$6:A154,"="&amp;A154)</f>
        <v>1</v>
      </c>
      <c r="K154" s="76" t="str">
        <f>EDR1!D184</f>
        <v>OPERATORE SPECIALIZZATO CIRCOLAZIONE</v>
      </c>
      <c r="L154" s="76" t="str">
        <f>EDR1!C184</f>
        <v>F1</v>
      </c>
      <c r="M154" s="76" t="str">
        <f>EDR1!E184</f>
        <v>Aiuto Macchinista r.e.</v>
      </c>
      <c r="N154" s="76"/>
      <c r="O154" s="76"/>
      <c r="P154" s="82">
        <f>VLOOKUP(L154&amp;$K$2&amp;K154&amp;$K$2&amp;M154,EDR1!$A$36:$Q$268,16,FALSE)</f>
        <v>25</v>
      </c>
      <c r="Q154" s="82">
        <f>VLOOKUP(L154&amp;$K$2&amp;K154&amp;$K$2&amp;M154,EDR1!$A$36:$Q$268,17,FALSE)</f>
        <v>58</v>
      </c>
      <c r="R154" s="77">
        <f t="shared" si="29"/>
        <v>149</v>
      </c>
      <c r="S154" s="80">
        <f t="shared" si="30"/>
      </c>
      <c r="T154" s="77">
        <f t="shared" si="31"/>
      </c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</row>
    <row r="155" spans="1:33" ht="12.75" hidden="1">
      <c r="A155" s="76" t="str">
        <f t="shared" si="32"/>
        <v>F1-OPERATORE SPECIALIZZATO CIRCOLAZIONE</v>
      </c>
      <c r="B155" s="81" t="str">
        <f t="shared" si="25"/>
        <v>2-F1</v>
      </c>
      <c r="C155" s="81">
        <f>COUNTIF($B$6:B155,"="&amp;B155)</f>
        <v>5</v>
      </c>
      <c r="D155" s="81" t="str">
        <f t="shared" si="26"/>
        <v>5-2-F1</v>
      </c>
      <c r="E155" s="76" t="str">
        <f t="shared" si="33"/>
        <v>OPERATORE SPECIALIZZATO CIRCOLAZIONE-Assistente Capo di Stazione r.e.</v>
      </c>
      <c r="F155" s="76" t="str">
        <f t="shared" si="27"/>
        <v>OPERATORE SPECIALIZZATO CIRCOLAZIONE-F1-Assistente Capo di Stazione r.e.</v>
      </c>
      <c r="G155" s="76" t="str">
        <f t="shared" si="34"/>
        <v>2-OPERATORE SPECIALIZZATO CIRCOLAZIONE-F1</v>
      </c>
      <c r="H155" s="76" t="str">
        <f t="shared" si="35"/>
        <v>F1-OPERATORE SPECIALIZZATO CIRCOLAZIONE-5-2-F1</v>
      </c>
      <c r="I155" s="76">
        <f t="shared" si="28"/>
        <v>66</v>
      </c>
      <c r="J155" s="76">
        <f>COUNTIF($A$6:A155,"="&amp;A155)</f>
        <v>2</v>
      </c>
      <c r="K155" s="76" t="str">
        <f>EDR1!D185</f>
        <v>OPERATORE SPECIALIZZATO CIRCOLAZIONE</v>
      </c>
      <c r="L155" s="76" t="str">
        <f>EDR1!C185</f>
        <v>F1</v>
      </c>
      <c r="M155" s="76" t="str">
        <f>EDR1!E185</f>
        <v>Assistente Capo di Stazione r.e.</v>
      </c>
      <c r="N155" s="76"/>
      <c r="O155" s="76"/>
      <c r="P155" s="82">
        <f>VLOOKUP(L155&amp;$K$2&amp;K155&amp;$K$2&amp;M155,EDR1!$A$36:$Q$268,16,FALSE)</f>
        <v>30</v>
      </c>
      <c r="Q155" s="82">
        <f>VLOOKUP(L155&amp;$K$2&amp;K155&amp;$K$2&amp;M155,EDR1!$A$36:$Q$268,17,FALSE)</f>
        <v>65</v>
      </c>
      <c r="R155" s="77">
        <f t="shared" si="29"/>
        <v>150</v>
      </c>
      <c r="S155" s="80">
        <f t="shared" si="30"/>
      </c>
      <c r="T155" s="77">
        <f t="shared" si="31"/>
      </c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</row>
    <row r="156" spans="1:33" ht="12.75" hidden="1">
      <c r="A156" s="76" t="str">
        <f t="shared" si="32"/>
        <v>F1-OPERATORE SPECIALIZZATO CIRCOLAZIONE</v>
      </c>
      <c r="B156" s="81" t="str">
        <f t="shared" si="25"/>
        <v>3-F1</v>
      </c>
      <c r="C156" s="81">
        <f>COUNTIF($B$6:B156,"="&amp;B156)</f>
        <v>3</v>
      </c>
      <c r="D156" s="81" t="str">
        <f t="shared" si="26"/>
        <v>3-3-F1</v>
      </c>
      <c r="E156" s="76" t="str">
        <f t="shared" si="33"/>
        <v>OPERATORE SPECIALIZZATO CIRCOLAZIONE-Deviatore Capo</v>
      </c>
      <c r="F156" s="76" t="str">
        <f t="shared" si="27"/>
        <v>OPERATORE SPECIALIZZATO CIRCOLAZIONE-F1-Deviatore Capo</v>
      </c>
      <c r="G156" s="76" t="str">
        <f t="shared" si="34"/>
        <v>3-OPERATORE SPECIALIZZATO CIRCOLAZIONE-F1</v>
      </c>
      <c r="H156" s="76" t="str">
        <f t="shared" si="35"/>
        <v>F1-OPERATORE SPECIALIZZATO CIRCOLAZIONE-3-3-F1</v>
      </c>
      <c r="I156" s="76">
        <f t="shared" si="28"/>
        <v>66</v>
      </c>
      <c r="J156" s="76">
        <f>COUNTIF($A$6:A156,"="&amp;A156)</f>
        <v>3</v>
      </c>
      <c r="K156" s="76" t="str">
        <f>EDR1!D186</f>
        <v>OPERATORE SPECIALIZZATO CIRCOLAZIONE</v>
      </c>
      <c r="L156" s="76" t="str">
        <f>EDR1!C186</f>
        <v>F1</v>
      </c>
      <c r="M156" s="76" t="str">
        <f>EDR1!E186</f>
        <v>Deviatore Capo</v>
      </c>
      <c r="N156" s="76"/>
      <c r="O156" s="76"/>
      <c r="P156" s="82">
        <f>VLOOKUP(L156&amp;$K$2&amp;K156&amp;$K$2&amp;M156,EDR1!$A$36:$Q$268,16,FALSE)</f>
        <v>30</v>
      </c>
      <c r="Q156" s="82">
        <f>VLOOKUP(L156&amp;$K$2&amp;K156&amp;$K$2&amp;M156,EDR1!$A$36:$Q$268,17,FALSE)</f>
        <v>65</v>
      </c>
      <c r="R156" s="77">
        <f t="shared" si="29"/>
        <v>151</v>
      </c>
      <c r="S156" s="80">
        <f t="shared" si="30"/>
      </c>
      <c r="T156" s="77">
        <f t="shared" si="31"/>
      </c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</row>
    <row r="157" spans="1:33" ht="12.75" hidden="1">
      <c r="A157" s="76" t="str">
        <f t="shared" si="32"/>
        <v>F1-OPERATORE SPECIALIZZATO CIRCOLAZIONE</v>
      </c>
      <c r="B157" s="81" t="str">
        <f t="shared" si="25"/>
        <v>4-F1</v>
      </c>
      <c r="C157" s="81">
        <f>COUNTIF($B$6:B157,"="&amp;B157)</f>
        <v>2</v>
      </c>
      <c r="D157" s="81" t="str">
        <f t="shared" si="26"/>
        <v>2-4-F1</v>
      </c>
      <c r="E157" s="76" t="str">
        <f t="shared" si="33"/>
        <v>OPERATORE SPECIALIZZATO CIRCOLAZIONE-Macchinista t.m.</v>
      </c>
      <c r="F157" s="76" t="str">
        <f t="shared" si="27"/>
        <v>OPERATORE SPECIALIZZATO CIRCOLAZIONE-F1-Macchinista t.m.</v>
      </c>
      <c r="G157" s="76" t="str">
        <f t="shared" si="34"/>
        <v>4-OPERATORE SPECIALIZZATO CIRCOLAZIONE-F1</v>
      </c>
      <c r="H157" s="76" t="str">
        <f t="shared" si="35"/>
        <v>F1-OPERATORE SPECIALIZZATO CIRCOLAZIONE-2-4-F1</v>
      </c>
      <c r="I157" s="76">
        <f t="shared" si="28"/>
        <v>66</v>
      </c>
      <c r="J157" s="76">
        <f>COUNTIF($A$6:A157,"="&amp;A157)</f>
        <v>4</v>
      </c>
      <c r="K157" s="76" t="str">
        <f>EDR1!D187</f>
        <v>OPERATORE SPECIALIZZATO CIRCOLAZIONE</v>
      </c>
      <c r="L157" s="76" t="str">
        <f>EDR1!C187</f>
        <v>F1</v>
      </c>
      <c r="M157" s="76" t="str">
        <f>EDR1!E187</f>
        <v>Macchinista t.m.</v>
      </c>
      <c r="N157" s="76"/>
      <c r="O157" s="76"/>
      <c r="P157" s="82">
        <f>VLOOKUP(L157&amp;$K$2&amp;K157&amp;$K$2&amp;M157,EDR1!$A$36:$Q$268,16,FALSE)</f>
        <v>25</v>
      </c>
      <c r="Q157" s="82">
        <f>VLOOKUP(L157&amp;$K$2&amp;K157&amp;$K$2&amp;M157,EDR1!$A$36:$Q$268,17,FALSE)</f>
        <v>58</v>
      </c>
      <c r="R157" s="77">
        <f t="shared" si="29"/>
        <v>152</v>
      </c>
      <c r="S157" s="80">
        <f t="shared" si="30"/>
      </c>
      <c r="T157" s="77">
        <f t="shared" si="31"/>
      </c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</row>
    <row r="158" spans="1:33" ht="12.75" hidden="1">
      <c r="A158" s="76" t="str">
        <f t="shared" si="32"/>
        <v>F1-OPERATORE SPECIALIZZATO CIRCOLAZIONE</v>
      </c>
      <c r="B158" s="81" t="str">
        <f t="shared" si="25"/>
        <v>5-F1</v>
      </c>
      <c r="C158" s="81">
        <f>COUNTIF($B$6:B158,"="&amp;B158)</f>
        <v>2</v>
      </c>
      <c r="D158" s="81" t="str">
        <f t="shared" si="26"/>
        <v>2-5-F1</v>
      </c>
      <c r="E158" s="76" t="str">
        <f t="shared" si="33"/>
        <v>OPERATORE SPECIALIZZATO CIRCOLAZIONE-Manovratore Capo</v>
      </c>
      <c r="F158" s="76" t="str">
        <f t="shared" si="27"/>
        <v>OPERATORE SPECIALIZZATO CIRCOLAZIONE-F1-Manovratore Capo</v>
      </c>
      <c r="G158" s="76" t="str">
        <f t="shared" si="34"/>
        <v>5-OPERATORE SPECIALIZZATO CIRCOLAZIONE-F1</v>
      </c>
      <c r="H158" s="76" t="str">
        <f t="shared" si="35"/>
        <v>F1-OPERATORE SPECIALIZZATO CIRCOLAZIONE-2-5-F1</v>
      </c>
      <c r="I158" s="76">
        <f t="shared" si="28"/>
        <v>66</v>
      </c>
      <c r="J158" s="76">
        <f>COUNTIF($A$6:A158,"="&amp;A158)</f>
        <v>5</v>
      </c>
      <c r="K158" s="76" t="str">
        <f>EDR1!D188</f>
        <v>OPERATORE SPECIALIZZATO CIRCOLAZIONE</v>
      </c>
      <c r="L158" s="76" t="str">
        <f>EDR1!C188</f>
        <v>F1</v>
      </c>
      <c r="M158" s="76" t="str">
        <f>EDR1!E188</f>
        <v>Manovratore Capo</v>
      </c>
      <c r="N158" s="76"/>
      <c r="O158" s="76"/>
      <c r="P158" s="82">
        <f>VLOOKUP(L158&amp;$K$2&amp;K158&amp;$K$2&amp;M158,EDR1!$A$36:$Q$268,16,FALSE)</f>
        <v>25</v>
      </c>
      <c r="Q158" s="82">
        <f>VLOOKUP(L158&amp;$K$2&amp;K158&amp;$K$2&amp;M158,EDR1!$A$36:$Q$268,17,FALSE)</f>
        <v>58</v>
      </c>
      <c r="R158" s="77">
        <f t="shared" si="29"/>
        <v>153</v>
      </c>
      <c r="S158" s="80">
        <f t="shared" si="30"/>
      </c>
      <c r="T158" s="77">
        <f t="shared" si="31"/>
      </c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</row>
    <row r="159" spans="1:33" ht="12.75" hidden="1">
      <c r="A159" s="76" t="str">
        <f t="shared" si="32"/>
        <v>F1-OPERATORE SPECIALIZZATO CIRCOLAZIONE</v>
      </c>
      <c r="B159" s="81" t="str">
        <f t="shared" si="25"/>
        <v>6-F1</v>
      </c>
      <c r="C159" s="81">
        <f>COUNTIF($B$6:B159,"="&amp;B159)</f>
        <v>2</v>
      </c>
      <c r="D159" s="81" t="str">
        <f t="shared" si="26"/>
        <v>2-6-F1</v>
      </c>
      <c r="E159" s="76" t="str">
        <f t="shared" si="33"/>
        <v>OPERATORE SPECIALIZZATO CIRCOLAZIONE-Operatore della Circolazione (par. 156)</v>
      </c>
      <c r="F159" s="76" t="str">
        <f t="shared" si="27"/>
        <v>OPERATORE SPECIALIZZATO CIRCOLAZIONE-F1-Operatore della Circolazione (par. 156)</v>
      </c>
      <c r="G159" s="76" t="str">
        <f t="shared" si="34"/>
        <v>6-OPERATORE SPECIALIZZATO CIRCOLAZIONE-F1</v>
      </c>
      <c r="H159" s="76" t="str">
        <f t="shared" si="35"/>
        <v>F1-OPERATORE SPECIALIZZATO CIRCOLAZIONE-2-6-F1</v>
      </c>
      <c r="I159" s="76">
        <f t="shared" si="28"/>
        <v>66</v>
      </c>
      <c r="J159" s="76">
        <f>COUNTIF($A$6:A159,"="&amp;A159)</f>
        <v>6</v>
      </c>
      <c r="K159" s="76" t="str">
        <f>EDR1!D189</f>
        <v>OPERATORE SPECIALIZZATO CIRCOLAZIONE</v>
      </c>
      <c r="L159" s="76" t="str">
        <f>EDR1!C189</f>
        <v>F1</v>
      </c>
      <c r="M159" s="76" t="str">
        <f>EDR1!E189</f>
        <v>Operatore della Circolazione (par. 156)</v>
      </c>
      <c r="N159" s="76"/>
      <c r="O159" s="76"/>
      <c r="P159" s="82">
        <f>VLOOKUP(L159&amp;$K$2&amp;K159&amp;$K$2&amp;M159,EDR1!$A$36:$Q$268,16,FALSE)</f>
        <v>30</v>
      </c>
      <c r="Q159" s="82">
        <f>VLOOKUP(L159&amp;$K$2&amp;K159&amp;$K$2&amp;M159,EDR1!$A$36:$Q$268,17,FALSE)</f>
        <v>65</v>
      </c>
      <c r="R159" s="77">
        <f t="shared" si="29"/>
        <v>154</v>
      </c>
      <c r="S159" s="80">
        <f t="shared" si="30"/>
      </c>
      <c r="T159" s="77">
        <f t="shared" si="31"/>
      </c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</row>
    <row r="160" spans="1:33" ht="12.75" hidden="1">
      <c r="A160" s="76" t="str">
        <f t="shared" si="32"/>
        <v>F1-OPERATORE SPECIALIZZATO CIRCOLAZIONE</v>
      </c>
      <c r="B160" s="81" t="str">
        <f t="shared" si="25"/>
        <v>7-F1</v>
      </c>
      <c r="C160" s="81">
        <f>COUNTIF($B$6:B160,"="&amp;B160)</f>
        <v>2</v>
      </c>
      <c r="D160" s="81" t="str">
        <f t="shared" si="26"/>
        <v>2-7-F1</v>
      </c>
      <c r="E160" s="76" t="str">
        <f t="shared" si="33"/>
        <v>OPERATORE SPECIALIZZATO CIRCOLAZIONE-Tecnico di Stazione(par. 156)</v>
      </c>
      <c r="F160" s="76" t="str">
        <f t="shared" si="27"/>
        <v>OPERATORE SPECIALIZZATO CIRCOLAZIONE-F1-Tecnico di Stazione(par. 156)</v>
      </c>
      <c r="G160" s="76" t="str">
        <f t="shared" si="34"/>
        <v>7-OPERATORE SPECIALIZZATO CIRCOLAZIONE-F1</v>
      </c>
      <c r="H160" s="76" t="str">
        <f t="shared" si="35"/>
        <v>F1-OPERATORE SPECIALIZZATO CIRCOLAZIONE-2-7-F1</v>
      </c>
      <c r="I160" s="76">
        <f t="shared" si="28"/>
        <v>66</v>
      </c>
      <c r="J160" s="76">
        <f>COUNTIF($A$6:A160,"="&amp;A160)</f>
        <v>7</v>
      </c>
      <c r="K160" s="76" t="str">
        <f>EDR1!D190</f>
        <v>OPERATORE SPECIALIZZATO CIRCOLAZIONE</v>
      </c>
      <c r="L160" s="76" t="str">
        <f>EDR1!C190</f>
        <v>F1</v>
      </c>
      <c r="M160" s="76" t="str">
        <f>EDR1!E190</f>
        <v>Tecnico di Stazione(par. 156)</v>
      </c>
      <c r="N160" s="76"/>
      <c r="O160" s="76"/>
      <c r="P160" s="82">
        <f>VLOOKUP(L160&amp;$K$2&amp;K160&amp;$K$2&amp;M160,EDR1!$A$36:$Q$268,16,FALSE)</f>
        <v>30</v>
      </c>
      <c r="Q160" s="82">
        <f>VLOOKUP(L160&amp;$K$2&amp;K160&amp;$K$2&amp;M160,EDR1!$A$36:$Q$268,17,FALSE)</f>
        <v>65</v>
      </c>
      <c r="R160" s="77">
        <f t="shared" si="29"/>
        <v>155</v>
      </c>
      <c r="S160" s="80">
        <f t="shared" si="30"/>
      </c>
      <c r="T160" s="77">
        <f t="shared" si="31"/>
      </c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</row>
    <row r="161" spans="1:33" ht="12.75" hidden="1">
      <c r="A161" s="76" t="str">
        <f t="shared" si="32"/>
        <v>F1-OPERATORE SPECIALIZZATO CIRCOLAZIONE</v>
      </c>
      <c r="B161" s="81" t="str">
        <f t="shared" si="25"/>
        <v>8-F1</v>
      </c>
      <c r="C161" s="81">
        <f>COUNTIF($B$6:B161,"="&amp;B161)</f>
        <v>2</v>
      </c>
      <c r="D161" s="81" t="str">
        <f t="shared" si="26"/>
        <v>2-8-F1</v>
      </c>
      <c r="E161" s="76" t="str">
        <f t="shared" si="33"/>
        <v>OPERATORE SPECIALIZZATO CIRCOLAZIONE-Verificatore</v>
      </c>
      <c r="F161" s="76" t="str">
        <f t="shared" si="27"/>
        <v>OPERATORE SPECIALIZZATO CIRCOLAZIONE-F1-Verificatore</v>
      </c>
      <c r="G161" s="76" t="str">
        <f t="shared" si="34"/>
        <v>8-OPERATORE SPECIALIZZATO CIRCOLAZIONE-F1</v>
      </c>
      <c r="H161" s="76" t="str">
        <f t="shared" si="35"/>
        <v>F1-OPERATORE SPECIALIZZATO CIRCOLAZIONE-2-8-F1</v>
      </c>
      <c r="I161" s="76">
        <f t="shared" si="28"/>
        <v>66</v>
      </c>
      <c r="J161" s="76">
        <f>COUNTIF($A$6:A161,"="&amp;A161)</f>
        <v>8</v>
      </c>
      <c r="K161" s="76" t="str">
        <f>EDR1!D191</f>
        <v>OPERATORE SPECIALIZZATO CIRCOLAZIONE</v>
      </c>
      <c r="L161" s="76" t="str">
        <f>EDR1!C191</f>
        <v>F1</v>
      </c>
      <c r="M161" s="76" t="str">
        <f>EDR1!E191</f>
        <v>Verificatore</v>
      </c>
      <c r="N161" s="76"/>
      <c r="O161" s="76"/>
      <c r="P161" s="82">
        <f>VLOOKUP(L161&amp;$K$2&amp;K161&amp;$K$2&amp;M161,EDR1!$A$36:$Q$268,16,FALSE)</f>
        <v>25</v>
      </c>
      <c r="Q161" s="82">
        <f>VLOOKUP(L161&amp;$K$2&amp;K161&amp;$K$2&amp;M161,EDR1!$A$36:$Q$268,17,FALSE)</f>
        <v>65</v>
      </c>
      <c r="R161" s="77">
        <f t="shared" si="29"/>
        <v>156</v>
      </c>
      <c r="S161" s="80">
        <f t="shared" si="30"/>
      </c>
      <c r="T161" s="77">
        <f t="shared" si="31"/>
      </c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</row>
    <row r="162" spans="1:33" ht="12.75" hidden="1">
      <c r="A162" s="76" t="str">
        <f t="shared" si="32"/>
        <v>F1-OPERATORE SPECIALIZZATO CIRCOLAZIONE</v>
      </c>
      <c r="B162" s="81" t="str">
        <f t="shared" si="25"/>
        <v>9-F1</v>
      </c>
      <c r="C162" s="81">
        <f>COUNTIF($B$6:B162,"="&amp;B162)</f>
        <v>1</v>
      </c>
      <c r="D162" s="81" t="str">
        <f t="shared" si="26"/>
        <v>1-9-F1</v>
      </c>
      <c r="E162" s="76" t="str">
        <f t="shared" si="33"/>
        <v>OPERATORE SPECIALIZZATO CIRCOLAZIONE-Ex profilo non previsto</v>
      </c>
      <c r="F162" s="76" t="str">
        <f t="shared" si="27"/>
        <v>OPERATORE SPECIALIZZATO CIRCOLAZIONE-F1-Ex profilo non previsto</v>
      </c>
      <c r="G162" s="76" t="str">
        <f t="shared" si="34"/>
        <v>9-OPERATORE SPECIALIZZATO CIRCOLAZIONE-F1</v>
      </c>
      <c r="H162" s="76" t="str">
        <f t="shared" si="35"/>
        <v>F1-OPERATORE SPECIALIZZATO CIRCOLAZIONE-1-9-F1</v>
      </c>
      <c r="I162" s="76">
        <f t="shared" si="28"/>
        <v>66</v>
      </c>
      <c r="J162" s="76">
        <f>COUNTIF($A$6:A162,"="&amp;A162)</f>
        <v>9</v>
      </c>
      <c r="K162" s="76" t="str">
        <f>EDR1!D192</f>
        <v>OPERATORE SPECIALIZZATO CIRCOLAZIONE</v>
      </c>
      <c r="L162" s="76" t="str">
        <f>EDR1!C192</f>
        <v>F1</v>
      </c>
      <c r="M162" s="76" t="str">
        <f>EDR1!E192</f>
        <v>Ex profilo non previsto</v>
      </c>
      <c r="N162" s="76"/>
      <c r="O162" s="76"/>
      <c r="P162" s="82">
        <f>VLOOKUP(L162&amp;$K$2&amp;K162&amp;$K$2&amp;M162,EDR1!$A$36:$Q$268,16,FALSE)</f>
        <v>30</v>
      </c>
      <c r="Q162" s="82">
        <f>VLOOKUP(L162&amp;$K$2&amp;K162&amp;$K$2&amp;M162,EDR1!$A$36:$Q$268,17,FALSE)</f>
        <v>65</v>
      </c>
      <c r="R162" s="77">
        <f t="shared" si="29"/>
        <v>157</v>
      </c>
      <c r="S162" s="80">
        <f t="shared" si="30"/>
      </c>
      <c r="T162" s="77">
        <f t="shared" si="31"/>
      </c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</row>
    <row r="163" spans="1:33" ht="12.75" hidden="1">
      <c r="A163" s="76" t="str">
        <f t="shared" si="32"/>
        <v>F1-OPERATORE SPECIALIZZATO UFFICI</v>
      </c>
      <c r="B163" s="81" t="str">
        <f t="shared" si="25"/>
        <v>1-F1</v>
      </c>
      <c r="C163" s="81">
        <f>COUNTIF($B$6:B163,"="&amp;B163)</f>
        <v>11</v>
      </c>
      <c r="D163" s="81" t="str">
        <f t="shared" si="26"/>
        <v>11-1-F1</v>
      </c>
      <c r="E163" s="76" t="str">
        <f t="shared" si="33"/>
        <v>OPERATORE SPECIALIZZATO UFFICI-Operatore d'Ufficio (par. 156)</v>
      </c>
      <c r="F163" s="76" t="str">
        <f t="shared" si="27"/>
        <v>OPERATORE SPECIALIZZATO UFFICI-F1-Operatore d'Ufficio (par. 156)</v>
      </c>
      <c r="G163" s="76" t="str">
        <f t="shared" si="34"/>
        <v>1-OPERATORE SPECIALIZZATO UFFICI-F1</v>
      </c>
      <c r="H163" s="76" t="str">
        <f t="shared" si="35"/>
        <v>F1-OPERATORE SPECIALIZZATO UFFICI-11-1-F1</v>
      </c>
      <c r="I163" s="76">
        <f t="shared" si="28"/>
        <v>67</v>
      </c>
      <c r="J163" s="76">
        <f>COUNTIF($A$6:A163,"="&amp;A163)</f>
        <v>1</v>
      </c>
      <c r="K163" s="76" t="str">
        <f>EDR1!D193</f>
        <v>OPERATORE SPECIALIZZATO UFFICI</v>
      </c>
      <c r="L163" s="76" t="str">
        <f>EDR1!C193</f>
        <v>F1</v>
      </c>
      <c r="M163" s="76" t="str">
        <f>EDR1!E193</f>
        <v>Operatore d'Ufficio (par. 156)</v>
      </c>
      <c r="N163" s="76"/>
      <c r="O163" s="76"/>
      <c r="P163" s="82">
        <f>VLOOKUP(L163&amp;$K$2&amp;K163&amp;$K$2&amp;M163,EDR1!$A$36:$Q$268,16,FALSE)</f>
        <v>30</v>
      </c>
      <c r="Q163" s="82">
        <f>VLOOKUP(L163&amp;$K$2&amp;K163&amp;$K$2&amp;M163,EDR1!$A$36:$Q$268,17,FALSE)</f>
        <v>65</v>
      </c>
      <c r="R163" s="77">
        <f t="shared" si="29"/>
        <v>158</v>
      </c>
      <c r="S163" s="80">
        <f t="shared" si="30"/>
      </c>
      <c r="T163" s="77">
        <f t="shared" si="31"/>
      </c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</row>
    <row r="164" spans="1:33" ht="12.75" hidden="1">
      <c r="A164" s="76" t="str">
        <f t="shared" si="32"/>
        <v>F1-OPERATORE SPECIALIZZATO UFFICI</v>
      </c>
      <c r="B164" s="81" t="str">
        <f t="shared" si="25"/>
        <v>2-F1</v>
      </c>
      <c r="C164" s="81">
        <f>COUNTIF($B$6:B164,"="&amp;B164)</f>
        <v>6</v>
      </c>
      <c r="D164" s="81" t="str">
        <f t="shared" si="26"/>
        <v>6-2-F1</v>
      </c>
      <c r="E164" s="76" t="str">
        <f t="shared" si="33"/>
        <v>OPERATORE SPECIALIZZATO UFFICI-Ex profilo non previsto</v>
      </c>
      <c r="F164" s="76" t="str">
        <f t="shared" si="27"/>
        <v>OPERATORE SPECIALIZZATO UFFICI-F1-Ex profilo non previsto</v>
      </c>
      <c r="G164" s="76" t="str">
        <f t="shared" si="34"/>
        <v>2-OPERATORE SPECIALIZZATO UFFICI-F1</v>
      </c>
      <c r="H164" s="76" t="str">
        <f t="shared" si="35"/>
        <v>F1-OPERATORE SPECIALIZZATO UFFICI-6-2-F1</v>
      </c>
      <c r="I164" s="76">
        <f t="shared" si="28"/>
        <v>67</v>
      </c>
      <c r="J164" s="76">
        <f>COUNTIF($A$6:A164,"="&amp;A164)</f>
        <v>2</v>
      </c>
      <c r="K164" s="76" t="str">
        <f>EDR1!D194</f>
        <v>OPERATORE SPECIALIZZATO UFFICI</v>
      </c>
      <c r="L164" s="76" t="str">
        <f>EDR1!C194</f>
        <v>F1</v>
      </c>
      <c r="M164" s="76" t="str">
        <f>EDR1!E194</f>
        <v>Ex profilo non previsto</v>
      </c>
      <c r="N164" s="76"/>
      <c r="O164" s="76"/>
      <c r="P164" s="82">
        <f>VLOOKUP(L164&amp;$K$2&amp;K164&amp;$K$2&amp;M164,EDR1!$A$36:$Q$268,16,FALSE)</f>
        <v>30</v>
      </c>
      <c r="Q164" s="82">
        <f>VLOOKUP(L164&amp;$K$2&amp;K164&amp;$K$2&amp;M164,EDR1!$A$36:$Q$268,17,FALSE)</f>
        <v>65</v>
      </c>
      <c r="R164" s="77">
        <f t="shared" si="29"/>
        <v>159</v>
      </c>
      <c r="S164" s="80">
        <f t="shared" si="30"/>
      </c>
      <c r="T164" s="77">
        <f t="shared" si="31"/>
      </c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</row>
    <row r="165" spans="1:33" ht="12.75" hidden="1">
      <c r="A165" s="76" t="str">
        <f t="shared" si="32"/>
        <v>F2-AUTISTA</v>
      </c>
      <c r="B165" s="81" t="str">
        <f t="shared" si="25"/>
        <v>1-F2</v>
      </c>
      <c r="C165" s="81">
        <f>COUNTIF($B$6:B165,"="&amp;B165)</f>
        <v>1</v>
      </c>
      <c r="D165" s="81" t="str">
        <f t="shared" si="26"/>
        <v>1-1-F2</v>
      </c>
      <c r="E165" s="76" t="str">
        <f t="shared" si="33"/>
        <v>AUTISTA-Autista (par. 135)</v>
      </c>
      <c r="F165" s="76" t="str">
        <f t="shared" si="27"/>
        <v>AUTISTA-F2-Autista (par. 135)</v>
      </c>
      <c r="G165" s="76" t="str">
        <f t="shared" si="34"/>
        <v>1-AUTISTA-F2</v>
      </c>
      <c r="H165" s="76" t="str">
        <f t="shared" si="35"/>
        <v>F2-AUTISTA-1-1-F2</v>
      </c>
      <c r="I165" s="76">
        <f t="shared" si="28"/>
        <v>68</v>
      </c>
      <c r="J165" s="76">
        <f>COUNTIF($A$6:A165,"="&amp;A165)</f>
        <v>1</v>
      </c>
      <c r="K165" s="76" t="str">
        <f>EDR1!D195</f>
        <v>AUTISTA</v>
      </c>
      <c r="L165" s="76" t="str">
        <f>EDR1!C195</f>
        <v>F2</v>
      </c>
      <c r="M165" s="76" t="str">
        <f>EDR1!E195</f>
        <v>Autista (par. 135)</v>
      </c>
      <c r="N165" s="76"/>
      <c r="O165" s="76"/>
      <c r="P165" s="82">
        <f>VLOOKUP(L165&amp;$K$2&amp;K165&amp;$K$2&amp;M165,EDR1!$A$36:$Q$268,16,FALSE)</f>
        <v>30</v>
      </c>
      <c r="Q165" s="82">
        <f>VLOOKUP(L165&amp;$K$2&amp;K165&amp;$K$2&amp;M165,EDR1!$A$36:$Q$268,17,FALSE)</f>
        <v>65</v>
      </c>
      <c r="R165" s="77">
        <f t="shared" si="29"/>
        <v>160</v>
      </c>
      <c r="S165" s="80">
        <f t="shared" si="30"/>
      </c>
      <c r="T165" s="77">
        <f t="shared" si="31"/>
      </c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</row>
    <row r="166" spans="1:33" ht="12.75" hidden="1">
      <c r="A166" s="76" t="str">
        <f t="shared" si="32"/>
        <v>F2-AUTISTA</v>
      </c>
      <c r="B166" s="81" t="str">
        <f t="shared" si="25"/>
        <v>2-F2</v>
      </c>
      <c r="C166" s="81">
        <f>COUNTIF($B$6:B166,"="&amp;B166)</f>
        <v>1</v>
      </c>
      <c r="D166" s="81" t="str">
        <f t="shared" si="26"/>
        <v>1-2-F2</v>
      </c>
      <c r="E166" s="76" t="str">
        <f t="shared" si="33"/>
        <v>AUTISTA-Autista (par. 142)</v>
      </c>
      <c r="F166" s="76" t="str">
        <f t="shared" si="27"/>
        <v>AUTISTA-F2-Autista (par. 142)</v>
      </c>
      <c r="G166" s="76" t="str">
        <f t="shared" si="34"/>
        <v>2-AUTISTA-F2</v>
      </c>
      <c r="H166" s="76" t="str">
        <f t="shared" si="35"/>
        <v>F2-AUTISTA-1-2-F2</v>
      </c>
      <c r="I166" s="76">
        <f t="shared" si="28"/>
        <v>68</v>
      </c>
      <c r="J166" s="76">
        <f>COUNTIF($A$6:A166,"="&amp;A166)</f>
        <v>2</v>
      </c>
      <c r="K166" s="76" t="str">
        <f>EDR1!D196</f>
        <v>AUTISTA</v>
      </c>
      <c r="L166" s="76" t="str">
        <f>EDR1!C196</f>
        <v>F2</v>
      </c>
      <c r="M166" s="76" t="str">
        <f>EDR1!E196</f>
        <v>Autista (par. 142)</v>
      </c>
      <c r="N166" s="76"/>
      <c r="O166" s="76"/>
      <c r="P166" s="82">
        <f>VLOOKUP(L166&amp;$K$2&amp;K166&amp;$K$2&amp;M166,EDR1!$A$36:$Q$268,16,FALSE)</f>
        <v>30</v>
      </c>
      <c r="Q166" s="82">
        <f>VLOOKUP(L166&amp;$K$2&amp;K166&amp;$K$2&amp;M166,EDR1!$A$36:$Q$268,17,FALSE)</f>
        <v>65</v>
      </c>
      <c r="R166" s="77">
        <f t="shared" si="29"/>
        <v>161</v>
      </c>
      <c r="S166" s="80">
        <f t="shared" si="30"/>
      </c>
      <c r="T166" s="77">
        <f t="shared" si="31"/>
      </c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</row>
    <row r="167" spans="1:33" ht="12.75" hidden="1">
      <c r="A167" s="76" t="str">
        <f t="shared" si="32"/>
        <v>F2-CAPO SQUADRA AUSILIARI</v>
      </c>
      <c r="B167" s="81" t="str">
        <f t="shared" si="25"/>
        <v>1-F2</v>
      </c>
      <c r="C167" s="81">
        <f>COUNTIF($B$6:B167,"="&amp;B167)</f>
        <v>2</v>
      </c>
      <c r="D167" s="81" t="str">
        <f t="shared" si="26"/>
        <v>2-1-F2</v>
      </c>
      <c r="E167" s="76" t="str">
        <f t="shared" si="33"/>
        <v>CAPO SQUADRA AUSILIARI-Capo Squadra Ausiliari (par. 135)</v>
      </c>
      <c r="F167" s="76" t="str">
        <f t="shared" si="27"/>
        <v>CAPO SQUADRA AUSILIARI-F2-Capo Squadra Ausiliari (par. 135)</v>
      </c>
      <c r="G167" s="76" t="str">
        <f t="shared" si="34"/>
        <v>1-CAPO SQUADRA AUSILIARI-F2</v>
      </c>
      <c r="H167" s="76" t="str">
        <f t="shared" si="35"/>
        <v>F2-CAPO SQUADRA AUSILIARI-2-1-F2</v>
      </c>
      <c r="I167" s="76">
        <f t="shared" si="28"/>
        <v>69</v>
      </c>
      <c r="J167" s="76">
        <f>COUNTIF($A$6:A167,"="&amp;A167)</f>
        <v>1</v>
      </c>
      <c r="K167" s="76" t="str">
        <f>EDR1!D197</f>
        <v>CAPO SQUADRA AUSILIARI</v>
      </c>
      <c r="L167" s="76" t="str">
        <f>EDR1!C197</f>
        <v>F2</v>
      </c>
      <c r="M167" s="76" t="str">
        <f>EDR1!E197</f>
        <v>Capo Squadra Ausiliari (par. 135)</v>
      </c>
      <c r="N167" s="76"/>
      <c r="O167" s="76"/>
      <c r="P167" s="82">
        <f>VLOOKUP(L167&amp;$K$2&amp;K167&amp;$K$2&amp;M167,EDR1!$A$36:$Q$268,16,FALSE)</f>
        <v>30</v>
      </c>
      <c r="Q167" s="82">
        <f>VLOOKUP(L167&amp;$K$2&amp;K167&amp;$K$2&amp;M167,EDR1!$A$36:$Q$268,17,FALSE)</f>
        <v>65</v>
      </c>
      <c r="R167" s="77">
        <f t="shared" si="29"/>
        <v>162</v>
      </c>
      <c r="S167" s="80">
        <f t="shared" si="30"/>
      </c>
      <c r="T167" s="77">
        <f t="shared" si="31"/>
      </c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</row>
    <row r="168" spans="1:33" ht="12.75" hidden="1">
      <c r="A168" s="76" t="str">
        <f t="shared" si="32"/>
        <v>F2-CAPO SQUADRA AUSILIARI</v>
      </c>
      <c r="B168" s="81" t="str">
        <f t="shared" si="25"/>
        <v>2-F2</v>
      </c>
      <c r="C168" s="81">
        <f>COUNTIF($B$6:B168,"="&amp;B168)</f>
        <v>2</v>
      </c>
      <c r="D168" s="81" t="str">
        <f t="shared" si="26"/>
        <v>2-2-F2</v>
      </c>
      <c r="E168" s="76" t="str">
        <f t="shared" si="33"/>
        <v>CAPO SQUADRA AUSILIARI-Capo Squadra Ausiliari (par. 142)</v>
      </c>
      <c r="F168" s="76" t="str">
        <f t="shared" si="27"/>
        <v>CAPO SQUADRA AUSILIARI-F2-Capo Squadra Ausiliari (par. 142)</v>
      </c>
      <c r="G168" s="76" t="str">
        <f t="shared" si="34"/>
        <v>2-CAPO SQUADRA AUSILIARI-F2</v>
      </c>
      <c r="H168" s="76" t="str">
        <f t="shared" si="35"/>
        <v>F2-CAPO SQUADRA AUSILIARI-2-2-F2</v>
      </c>
      <c r="I168" s="76">
        <f t="shared" si="28"/>
        <v>69</v>
      </c>
      <c r="J168" s="76">
        <f>COUNTIF($A$6:A168,"="&amp;A168)</f>
        <v>2</v>
      </c>
      <c r="K168" s="76" t="str">
        <f>EDR1!D198</f>
        <v>CAPO SQUADRA AUSILIARI</v>
      </c>
      <c r="L168" s="76" t="str">
        <f>EDR1!C198</f>
        <v>F2</v>
      </c>
      <c r="M168" s="76" t="str">
        <f>EDR1!E198</f>
        <v>Capo Squadra Ausiliari (par. 142)</v>
      </c>
      <c r="N168" s="76"/>
      <c r="O168" s="76"/>
      <c r="P168" s="82">
        <f>VLOOKUP(L168&amp;$K$2&amp;K168&amp;$K$2&amp;M168,EDR1!$A$36:$Q$268,16,FALSE)</f>
        <v>30</v>
      </c>
      <c r="Q168" s="82">
        <f>VLOOKUP(L168&amp;$K$2&amp;K168&amp;$K$2&amp;M168,EDR1!$A$36:$Q$268,17,FALSE)</f>
        <v>65</v>
      </c>
      <c r="R168" s="77">
        <f t="shared" si="29"/>
        <v>163</v>
      </c>
      <c r="S168" s="80">
        <f t="shared" si="30"/>
      </c>
      <c r="T168" s="77">
        <f t="shared" si="31"/>
      </c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</row>
    <row r="169" spans="1:33" ht="12.75" hidden="1">
      <c r="A169" s="76" t="str">
        <f t="shared" si="32"/>
        <v>F2-INFERMIERE</v>
      </c>
      <c r="B169" s="81" t="str">
        <f t="shared" si="25"/>
        <v>1-F2</v>
      </c>
      <c r="C169" s="81">
        <f>COUNTIF($B$6:B169,"="&amp;B169)</f>
        <v>3</v>
      </c>
      <c r="D169" s="81" t="str">
        <f t="shared" si="26"/>
        <v>3-1-F2</v>
      </c>
      <c r="E169" s="76" t="str">
        <f t="shared" si="33"/>
        <v>INFERMIERE-Ex profilo non previsto</v>
      </c>
      <c r="F169" s="76" t="str">
        <f t="shared" si="27"/>
        <v>INFERMIERE-F2-Ex profilo non previsto</v>
      </c>
      <c r="G169" s="76" t="str">
        <f t="shared" si="34"/>
        <v>1-INFERMIERE-F2</v>
      </c>
      <c r="H169" s="76" t="str">
        <f t="shared" si="35"/>
        <v>F2-INFERMIERE-3-1-F2</v>
      </c>
      <c r="I169" s="76">
        <f t="shared" si="28"/>
        <v>70</v>
      </c>
      <c r="J169" s="76">
        <f>COUNTIF($A$6:A169,"="&amp;A169)</f>
        <v>1</v>
      </c>
      <c r="K169" s="76" t="str">
        <f>EDR1!D199</f>
        <v>INFERMIERE</v>
      </c>
      <c r="L169" s="76" t="str">
        <f>EDR1!C199</f>
        <v>F2</v>
      </c>
      <c r="M169" s="76" t="str">
        <f>EDR1!E199</f>
        <v>Ex profilo non previsto</v>
      </c>
      <c r="N169" s="76"/>
      <c r="O169" s="76"/>
      <c r="P169" s="82">
        <f>VLOOKUP(L169&amp;$K$2&amp;K169&amp;$K$2&amp;M169,EDR1!$A$36:$Q$268,16,FALSE)</f>
        <v>30</v>
      </c>
      <c r="Q169" s="82">
        <f>VLOOKUP(L169&amp;$K$2&amp;K169&amp;$K$2&amp;M169,EDR1!$A$36:$Q$268,17,FALSE)</f>
        <v>65</v>
      </c>
      <c r="R169" s="77">
        <f t="shared" si="29"/>
        <v>164</v>
      </c>
      <c r="S169" s="80">
        <f t="shared" si="30"/>
      </c>
      <c r="T169" s="77">
        <f t="shared" si="31"/>
      </c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</row>
    <row r="170" spans="1:33" ht="12.75" hidden="1">
      <c r="A170" s="76" t="str">
        <f t="shared" si="32"/>
        <v>F2-INGRASSATORE</v>
      </c>
      <c r="B170" s="81" t="str">
        <f t="shared" si="25"/>
        <v>1-F2</v>
      </c>
      <c r="C170" s="81">
        <f>COUNTIF($B$6:B170,"="&amp;B170)</f>
        <v>4</v>
      </c>
      <c r="D170" s="81" t="str">
        <f t="shared" si="26"/>
        <v>4-1-F2</v>
      </c>
      <c r="E170" s="76" t="str">
        <f t="shared" si="33"/>
        <v>INGRASSATORE-Ingrassatore (par. 135)</v>
      </c>
      <c r="F170" s="76" t="str">
        <f t="shared" si="27"/>
        <v>INGRASSATORE-F2-Ingrassatore (par. 135)</v>
      </c>
      <c r="G170" s="76" t="str">
        <f t="shared" si="34"/>
        <v>1-INGRASSATORE-F2</v>
      </c>
      <c r="H170" s="76" t="str">
        <f t="shared" si="35"/>
        <v>F2-INGRASSATORE-4-1-F2</v>
      </c>
      <c r="I170" s="76">
        <f t="shared" si="28"/>
        <v>71</v>
      </c>
      <c r="J170" s="76">
        <f>COUNTIF($A$6:A170,"="&amp;A170)</f>
        <v>1</v>
      </c>
      <c r="K170" s="76" t="str">
        <f>EDR1!D200</f>
        <v>INGRASSATORE</v>
      </c>
      <c r="L170" s="76" t="str">
        <f>EDR1!C200</f>
        <v>F2</v>
      </c>
      <c r="M170" s="76" t="str">
        <f>EDR1!E200</f>
        <v>Ingrassatore (par. 135)</v>
      </c>
      <c r="N170" s="76"/>
      <c r="O170" s="76"/>
      <c r="P170" s="82">
        <f>VLOOKUP(L170&amp;$K$2&amp;K170&amp;$K$2&amp;M170,EDR1!$A$36:$Q$268,16,FALSE)</f>
        <v>25</v>
      </c>
      <c r="Q170" s="82">
        <f>VLOOKUP(L170&amp;$K$2&amp;K170&amp;$K$2&amp;M170,EDR1!$A$36:$Q$268,17,FALSE)</f>
        <v>58</v>
      </c>
      <c r="R170" s="77">
        <f t="shared" si="29"/>
        <v>165</v>
      </c>
      <c r="S170" s="80">
        <f t="shared" si="30"/>
      </c>
      <c r="T170" s="77">
        <f t="shared" si="31"/>
      </c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</row>
    <row r="171" spans="1:33" ht="12.75" hidden="1">
      <c r="A171" s="76" t="str">
        <f t="shared" si="32"/>
        <v>F2-INGRASSATORE</v>
      </c>
      <c r="B171" s="81" t="str">
        <f t="shared" si="25"/>
        <v>2-F2</v>
      </c>
      <c r="C171" s="81">
        <f>COUNTIF($B$6:B171,"="&amp;B171)</f>
        <v>3</v>
      </c>
      <c r="D171" s="81" t="str">
        <f t="shared" si="26"/>
        <v>3-2-F2</v>
      </c>
      <c r="E171" s="76" t="str">
        <f t="shared" si="33"/>
        <v>INGRASSATORE-Ingrassatore (par. 142)</v>
      </c>
      <c r="F171" s="76" t="str">
        <f t="shared" si="27"/>
        <v>INGRASSATORE-F2-Ingrassatore (par. 142)</v>
      </c>
      <c r="G171" s="76" t="str">
        <f t="shared" si="34"/>
        <v>2-INGRASSATORE-F2</v>
      </c>
      <c r="H171" s="76" t="str">
        <f t="shared" si="35"/>
        <v>F2-INGRASSATORE-3-2-F2</v>
      </c>
      <c r="I171" s="76">
        <f t="shared" si="28"/>
        <v>71</v>
      </c>
      <c r="J171" s="76">
        <f>COUNTIF($A$6:A171,"="&amp;A171)</f>
        <v>2</v>
      </c>
      <c r="K171" s="76" t="str">
        <f>EDR1!D201</f>
        <v>INGRASSATORE</v>
      </c>
      <c r="L171" s="76" t="str">
        <f>EDR1!C201</f>
        <v>F2</v>
      </c>
      <c r="M171" s="76" t="str">
        <f>EDR1!E201</f>
        <v>Ingrassatore (par. 142)</v>
      </c>
      <c r="N171" s="76"/>
      <c r="O171" s="76"/>
      <c r="P171" s="82">
        <f>VLOOKUP(L171&amp;$K$2&amp;K171&amp;$K$2&amp;M171,EDR1!$A$36:$Q$268,16,FALSE)</f>
        <v>25</v>
      </c>
      <c r="Q171" s="82">
        <f>VLOOKUP(L171&amp;$K$2&amp;K171&amp;$K$2&amp;M171,EDR1!$A$36:$Q$268,17,FALSE)</f>
        <v>58</v>
      </c>
      <c r="R171" s="77">
        <f t="shared" si="29"/>
        <v>166</v>
      </c>
      <c r="S171" s="80">
        <f t="shared" si="30"/>
      </c>
      <c r="T171" s="77">
        <f t="shared" si="31"/>
      </c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</row>
    <row r="172" spans="1:33" ht="12.75" hidden="1">
      <c r="A172" s="76" t="str">
        <f t="shared" si="32"/>
        <v>F2-MARINAIO</v>
      </c>
      <c r="B172" s="81" t="str">
        <f t="shared" si="25"/>
        <v>1-F2</v>
      </c>
      <c r="C172" s="81">
        <f>COUNTIF($B$6:B172,"="&amp;B172)</f>
        <v>5</v>
      </c>
      <c r="D172" s="81" t="str">
        <f t="shared" si="26"/>
        <v>5-1-F2</v>
      </c>
      <c r="E172" s="76" t="str">
        <f t="shared" si="33"/>
        <v>MARINAIO-Marinaio (par. 135)</v>
      </c>
      <c r="F172" s="76" t="str">
        <f t="shared" si="27"/>
        <v>MARINAIO-F2-Marinaio (par. 135)</v>
      </c>
      <c r="G172" s="76" t="str">
        <f t="shared" si="34"/>
        <v>1-MARINAIO-F2</v>
      </c>
      <c r="H172" s="76" t="str">
        <f t="shared" si="35"/>
        <v>F2-MARINAIO-5-1-F2</v>
      </c>
      <c r="I172" s="76">
        <f t="shared" si="28"/>
        <v>72</v>
      </c>
      <c r="J172" s="76">
        <f>COUNTIF($A$6:A172,"="&amp;A172)</f>
        <v>1</v>
      </c>
      <c r="K172" s="76" t="str">
        <f>EDR1!D202</f>
        <v>MARINAIO</v>
      </c>
      <c r="L172" s="76" t="str">
        <f>EDR1!C202</f>
        <v>F2</v>
      </c>
      <c r="M172" s="76" t="str">
        <f>EDR1!E202</f>
        <v>Marinaio (par. 135)</v>
      </c>
      <c r="N172" s="76"/>
      <c r="O172" s="76"/>
      <c r="P172" s="82">
        <f>VLOOKUP(L172&amp;$K$2&amp;K172&amp;$K$2&amp;M172,EDR1!$A$36:$Q$268,16,FALSE)</f>
        <v>25</v>
      </c>
      <c r="Q172" s="82">
        <f>VLOOKUP(L172&amp;$K$2&amp;K172&amp;$K$2&amp;M172,EDR1!$A$36:$Q$268,17,FALSE)</f>
        <v>58</v>
      </c>
      <c r="R172" s="77">
        <f t="shared" si="29"/>
        <v>167</v>
      </c>
      <c r="S172" s="80">
        <f t="shared" si="30"/>
      </c>
      <c r="T172" s="77">
        <f t="shared" si="31"/>
      </c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</row>
    <row r="173" spans="1:33" ht="12.75" hidden="1">
      <c r="A173" s="76" t="str">
        <f t="shared" si="32"/>
        <v>F2-MARINAIO</v>
      </c>
      <c r="B173" s="81" t="str">
        <f t="shared" si="25"/>
        <v>2-F2</v>
      </c>
      <c r="C173" s="81">
        <f>COUNTIF($B$6:B173,"="&amp;B173)</f>
        <v>4</v>
      </c>
      <c r="D173" s="81" t="str">
        <f t="shared" si="26"/>
        <v>4-2-F2</v>
      </c>
      <c r="E173" s="76" t="str">
        <f t="shared" si="33"/>
        <v>MARINAIO-Marinaio (par. 142)</v>
      </c>
      <c r="F173" s="76" t="str">
        <f t="shared" si="27"/>
        <v>MARINAIO-F2-Marinaio (par. 142)</v>
      </c>
      <c r="G173" s="76" t="str">
        <f t="shared" si="34"/>
        <v>2-MARINAIO-F2</v>
      </c>
      <c r="H173" s="76" t="str">
        <f t="shared" si="35"/>
        <v>F2-MARINAIO-4-2-F2</v>
      </c>
      <c r="I173" s="76">
        <f t="shared" si="28"/>
        <v>72</v>
      </c>
      <c r="J173" s="76">
        <f>COUNTIF($A$6:A173,"="&amp;A173)</f>
        <v>2</v>
      </c>
      <c r="K173" s="76" t="str">
        <f>EDR1!D203</f>
        <v>MARINAIO</v>
      </c>
      <c r="L173" s="76" t="str">
        <f>EDR1!C203</f>
        <v>F2</v>
      </c>
      <c r="M173" s="76" t="str">
        <f>EDR1!E203</f>
        <v>Marinaio (par. 142)</v>
      </c>
      <c r="N173" s="76"/>
      <c r="O173" s="76"/>
      <c r="P173" s="82">
        <f>VLOOKUP(L173&amp;$K$2&amp;K173&amp;$K$2&amp;M173,EDR1!$A$36:$Q$268,16,FALSE)</f>
        <v>25</v>
      </c>
      <c r="Q173" s="82">
        <f>VLOOKUP(L173&amp;$K$2&amp;K173&amp;$K$2&amp;M173,EDR1!$A$36:$Q$268,17,FALSE)</f>
        <v>58</v>
      </c>
      <c r="R173" s="77">
        <f t="shared" si="29"/>
        <v>168</v>
      </c>
      <c r="S173" s="80">
        <f t="shared" si="30"/>
      </c>
      <c r="T173" s="77">
        <f t="shared" si="31"/>
      </c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</row>
    <row r="174" spans="1:33" ht="12.75" hidden="1">
      <c r="A174" s="76" t="str">
        <f t="shared" si="32"/>
        <v>F2-OERATORE SPECIALIZZATO DI BORDO</v>
      </c>
      <c r="B174" s="81" t="str">
        <f t="shared" si="25"/>
        <v>1-F2</v>
      </c>
      <c r="C174" s="81">
        <f>COUNTIF($B$6:B174,"="&amp;B174)</f>
        <v>6</v>
      </c>
      <c r="D174" s="81" t="str">
        <f t="shared" si="26"/>
        <v>6-1-F2</v>
      </c>
      <c r="E174" s="76" t="str">
        <f t="shared" si="33"/>
        <v>OERATORE SPECIALIZZATO DI BORDO-Conduttore (par. 135)</v>
      </c>
      <c r="F174" s="76" t="str">
        <f t="shared" si="27"/>
        <v>OERATORE SPECIALIZZATO DI BORDO-F2-Conduttore (par. 135)</v>
      </c>
      <c r="G174" s="76" t="str">
        <f t="shared" si="34"/>
        <v>1-OERATORE SPECIALIZZATO DI BORDO-F2</v>
      </c>
      <c r="H174" s="76" t="str">
        <f t="shared" si="35"/>
        <v>F2-OERATORE SPECIALIZZATO DI BORDO-6-1-F2</v>
      </c>
      <c r="I174" s="76">
        <f t="shared" si="28"/>
        <v>73</v>
      </c>
      <c r="J174" s="76">
        <f>COUNTIF($A$6:A174,"="&amp;A174)</f>
        <v>1</v>
      </c>
      <c r="K174" s="76" t="str">
        <f>EDR1!D204</f>
        <v>OERATORE SPECIALIZZATO DI BORDO</v>
      </c>
      <c r="L174" s="76" t="str">
        <f>EDR1!C204</f>
        <v>F2</v>
      </c>
      <c r="M174" s="76" t="str">
        <f>EDR1!E204</f>
        <v>Conduttore (par. 135)</v>
      </c>
      <c r="N174" s="76"/>
      <c r="O174" s="76"/>
      <c r="P174" s="82">
        <f>VLOOKUP(L174&amp;$K$2&amp;K174&amp;$K$2&amp;M174,EDR1!$A$36:$Q$268,16,FALSE)</f>
        <v>25</v>
      </c>
      <c r="Q174" s="82">
        <f>VLOOKUP(L174&amp;$K$2&amp;K174&amp;$K$2&amp;M174,EDR1!$A$36:$Q$268,17,FALSE)</f>
        <v>58</v>
      </c>
      <c r="R174" s="77">
        <f t="shared" si="29"/>
        <v>169</v>
      </c>
      <c r="S174" s="80">
        <f t="shared" si="30"/>
      </c>
      <c r="T174" s="77">
        <f t="shared" si="31"/>
      </c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</row>
    <row r="175" spans="1:33" ht="12.75" hidden="1">
      <c r="A175" s="76" t="str">
        <f t="shared" si="32"/>
        <v>F2-OERATORE SPECIALIZZATO DI BORDO</v>
      </c>
      <c r="B175" s="81" t="str">
        <f t="shared" si="25"/>
        <v>2-F2</v>
      </c>
      <c r="C175" s="81">
        <f>COUNTIF($B$6:B175,"="&amp;B175)</f>
        <v>5</v>
      </c>
      <c r="D175" s="81" t="str">
        <f t="shared" si="26"/>
        <v>5-2-F2</v>
      </c>
      <c r="E175" s="76" t="str">
        <f t="shared" si="33"/>
        <v>OERATORE SPECIALIZZATO DI BORDO-Conduttore (par. 142)</v>
      </c>
      <c r="F175" s="76" t="str">
        <f t="shared" si="27"/>
        <v>OERATORE SPECIALIZZATO DI BORDO-F2-Conduttore (par. 142)</v>
      </c>
      <c r="G175" s="76" t="str">
        <f t="shared" si="34"/>
        <v>2-OERATORE SPECIALIZZATO DI BORDO-F2</v>
      </c>
      <c r="H175" s="76" t="str">
        <f t="shared" si="35"/>
        <v>F2-OERATORE SPECIALIZZATO DI BORDO-5-2-F2</v>
      </c>
      <c r="I175" s="76">
        <f t="shared" si="28"/>
        <v>73</v>
      </c>
      <c r="J175" s="76">
        <f>COUNTIF($A$6:A175,"="&amp;A175)</f>
        <v>2</v>
      </c>
      <c r="K175" s="76" t="str">
        <f>EDR1!D205</f>
        <v>OERATORE SPECIALIZZATO DI BORDO</v>
      </c>
      <c r="L175" s="76" t="str">
        <f>EDR1!C205</f>
        <v>F2</v>
      </c>
      <c r="M175" s="76" t="str">
        <f>EDR1!E205</f>
        <v>Conduttore (par. 142)</v>
      </c>
      <c r="N175" s="76"/>
      <c r="O175" s="76"/>
      <c r="P175" s="82">
        <f>VLOOKUP(L175&amp;$K$2&amp;K175&amp;$K$2&amp;M175,EDR1!$A$36:$Q$268,16,FALSE)</f>
        <v>25</v>
      </c>
      <c r="Q175" s="82">
        <f>VLOOKUP(L175&amp;$K$2&amp;K175&amp;$K$2&amp;M175,EDR1!$A$36:$Q$268,17,FALSE)</f>
        <v>58</v>
      </c>
      <c r="R175" s="77">
        <f t="shared" si="29"/>
        <v>170</v>
      </c>
      <c r="S175" s="80">
        <f t="shared" si="30"/>
      </c>
      <c r="T175" s="77">
        <f t="shared" si="31"/>
      </c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</row>
    <row r="176" spans="1:33" ht="12.75" hidden="1">
      <c r="A176" s="76" t="str">
        <f t="shared" si="32"/>
        <v>F2-OERATORE SPECIALIZZATO DI BORDO</v>
      </c>
      <c r="B176" s="81" t="str">
        <f t="shared" si="25"/>
        <v>3-F2</v>
      </c>
      <c r="C176" s="81">
        <f>COUNTIF($B$6:B176,"="&amp;B176)</f>
        <v>1</v>
      </c>
      <c r="D176" s="81" t="str">
        <f t="shared" si="26"/>
        <v>1-3-F2</v>
      </c>
      <c r="E176" s="76" t="str">
        <f t="shared" si="33"/>
        <v>OERATORE SPECIALIZZATO DI BORDO-Ex profilo non previsto</v>
      </c>
      <c r="F176" s="76" t="str">
        <f t="shared" si="27"/>
        <v>OERATORE SPECIALIZZATO DI BORDO-F2-Ex profilo non previsto</v>
      </c>
      <c r="G176" s="76" t="str">
        <f t="shared" si="34"/>
        <v>3-OERATORE SPECIALIZZATO DI BORDO-F2</v>
      </c>
      <c r="H176" s="76" t="str">
        <f t="shared" si="35"/>
        <v>F2-OERATORE SPECIALIZZATO DI BORDO-1-3-F2</v>
      </c>
      <c r="I176" s="76">
        <f t="shared" si="28"/>
        <v>73</v>
      </c>
      <c r="J176" s="76">
        <f>COUNTIF($A$6:A176,"="&amp;A176)</f>
        <v>3</v>
      </c>
      <c r="K176" s="76" t="str">
        <f>EDR1!D206</f>
        <v>OERATORE SPECIALIZZATO DI BORDO</v>
      </c>
      <c r="L176" s="76" t="str">
        <f>EDR1!C206</f>
        <v>F2</v>
      </c>
      <c r="M176" s="76" t="str">
        <f>EDR1!E206</f>
        <v>Ex profilo non previsto</v>
      </c>
      <c r="N176" s="76"/>
      <c r="O176" s="76"/>
      <c r="P176" s="82">
        <f>VLOOKUP(L176&amp;$K$2&amp;K176&amp;$K$2&amp;M176,EDR1!$A$36:$Q$268,16,FALSE)</f>
        <v>30</v>
      </c>
      <c r="Q176" s="82">
        <f>VLOOKUP(L176&amp;$K$2&amp;K176&amp;$K$2&amp;M176,EDR1!$A$36:$Q$268,17,FALSE)</f>
        <v>65</v>
      </c>
      <c r="R176" s="77">
        <f t="shared" si="29"/>
        <v>171</v>
      </c>
      <c r="S176" s="80">
        <f t="shared" si="30"/>
      </c>
      <c r="T176" s="77">
        <f t="shared" si="31"/>
      </c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</row>
    <row r="177" spans="1:33" ht="12.75" hidden="1">
      <c r="A177" s="76" t="str">
        <f t="shared" si="32"/>
        <v>F2-OPERATORE SANITARIO SPECIALIZZATO</v>
      </c>
      <c r="B177" s="81" t="str">
        <f t="shared" si="25"/>
        <v>1-F2</v>
      </c>
      <c r="C177" s="81">
        <f>COUNTIF($B$6:B177,"="&amp;B177)</f>
        <v>7</v>
      </c>
      <c r="D177" s="81" t="str">
        <f t="shared" si="26"/>
        <v>7-1-F2</v>
      </c>
      <c r="E177" s="76" t="str">
        <f t="shared" si="33"/>
        <v>OPERATORE SANITARIO SPECIALIZZATO-Operatore Sanitario (par. 135)</v>
      </c>
      <c r="F177" s="76" t="str">
        <f t="shared" si="27"/>
        <v>OPERATORE SANITARIO SPECIALIZZATO-F2-Operatore Sanitario (par. 135)</v>
      </c>
      <c r="G177" s="76" t="str">
        <f t="shared" si="34"/>
        <v>1-OPERATORE SANITARIO SPECIALIZZATO-F2</v>
      </c>
      <c r="H177" s="76" t="str">
        <f t="shared" si="35"/>
        <v>F2-OPERATORE SANITARIO SPECIALIZZATO-7-1-F2</v>
      </c>
      <c r="I177" s="76">
        <f t="shared" si="28"/>
        <v>74</v>
      </c>
      <c r="J177" s="76">
        <f>COUNTIF($A$6:A177,"="&amp;A177)</f>
        <v>1</v>
      </c>
      <c r="K177" s="76" t="str">
        <f>EDR1!D207</f>
        <v>OPERATORE SANITARIO SPECIALIZZATO</v>
      </c>
      <c r="L177" s="76" t="str">
        <f>EDR1!C207</f>
        <v>F2</v>
      </c>
      <c r="M177" s="76" t="str">
        <f>EDR1!E207</f>
        <v>Operatore Sanitario (par. 135)</v>
      </c>
      <c r="N177" s="76"/>
      <c r="O177" s="76"/>
      <c r="P177" s="82">
        <f>VLOOKUP(L177&amp;$K$2&amp;K177&amp;$K$2&amp;M177,EDR1!$A$36:$Q$268,16,FALSE)</f>
        <v>30</v>
      </c>
      <c r="Q177" s="82">
        <f>VLOOKUP(L177&amp;$K$2&amp;K177&amp;$K$2&amp;M177,EDR1!$A$36:$Q$268,17,FALSE)</f>
        <v>65</v>
      </c>
      <c r="R177" s="77">
        <f t="shared" si="29"/>
        <v>172</v>
      </c>
      <c r="S177" s="80">
        <f t="shared" si="30"/>
      </c>
      <c r="T177" s="77">
        <f t="shared" si="31"/>
      </c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</row>
    <row r="178" spans="1:33" ht="12.75" hidden="1">
      <c r="A178" s="76" t="str">
        <f t="shared" si="32"/>
        <v>F2-OPERATORE SANITARIO SPECIALIZZATO</v>
      </c>
      <c r="B178" s="81" t="str">
        <f t="shared" si="25"/>
        <v>2-F2</v>
      </c>
      <c r="C178" s="81">
        <f>COUNTIF($B$6:B178,"="&amp;B178)</f>
        <v>6</v>
      </c>
      <c r="D178" s="81" t="str">
        <f t="shared" si="26"/>
        <v>6-2-F2</v>
      </c>
      <c r="E178" s="76" t="str">
        <f t="shared" si="33"/>
        <v>OPERATORE SANITARIO SPECIALIZZATO-Operatore Sanitario (par. 142)</v>
      </c>
      <c r="F178" s="76" t="str">
        <f t="shared" si="27"/>
        <v>OPERATORE SANITARIO SPECIALIZZATO-F2-Operatore Sanitario (par. 142)</v>
      </c>
      <c r="G178" s="76" t="str">
        <f t="shared" si="34"/>
        <v>2-OPERATORE SANITARIO SPECIALIZZATO-F2</v>
      </c>
      <c r="H178" s="76" t="str">
        <f t="shared" si="35"/>
        <v>F2-OPERATORE SANITARIO SPECIALIZZATO-6-2-F2</v>
      </c>
      <c r="I178" s="76">
        <f t="shared" si="28"/>
        <v>74</v>
      </c>
      <c r="J178" s="76">
        <f>COUNTIF($A$6:A178,"="&amp;A178)</f>
        <v>2</v>
      </c>
      <c r="K178" s="76" t="str">
        <f>EDR1!D208</f>
        <v>OPERATORE SANITARIO SPECIALIZZATO</v>
      </c>
      <c r="L178" s="76" t="str">
        <f>EDR1!C208</f>
        <v>F2</v>
      </c>
      <c r="M178" s="76" t="str">
        <f>EDR1!E208</f>
        <v>Operatore Sanitario (par. 142)</v>
      </c>
      <c r="N178" s="76"/>
      <c r="O178" s="76"/>
      <c r="P178" s="82">
        <f>VLOOKUP(L178&amp;$K$2&amp;K178&amp;$K$2&amp;M178,EDR1!$A$36:$Q$268,16,FALSE)</f>
        <v>30</v>
      </c>
      <c r="Q178" s="82">
        <f>VLOOKUP(L178&amp;$K$2&amp;K178&amp;$K$2&amp;M178,EDR1!$A$36:$Q$268,17,FALSE)</f>
        <v>65</v>
      </c>
      <c r="R178" s="77">
        <f t="shared" si="29"/>
        <v>173</v>
      </c>
      <c r="S178" s="80">
        <f t="shared" si="30"/>
      </c>
      <c r="T178" s="77">
        <f t="shared" si="31"/>
      </c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</row>
    <row r="179" spans="1:33" ht="12.75" hidden="1">
      <c r="A179" s="76" t="str">
        <f t="shared" si="32"/>
        <v>F2-OPERATORE SANITARIO SPECIALIZZATO</v>
      </c>
      <c r="B179" s="81" t="str">
        <f t="shared" si="25"/>
        <v>3-F2</v>
      </c>
      <c r="C179" s="81">
        <f>COUNTIF($B$6:B179,"="&amp;B179)</f>
        <v>2</v>
      </c>
      <c r="D179" s="81" t="str">
        <f t="shared" si="26"/>
        <v>2-3-F2</v>
      </c>
      <c r="E179" s="76" t="str">
        <f t="shared" si="33"/>
        <v>OPERATORE SANITARIO SPECIALIZZATO-Ex profilo non previsto</v>
      </c>
      <c r="F179" s="76" t="str">
        <f t="shared" si="27"/>
        <v>OPERATORE SANITARIO SPECIALIZZATO-F2-Ex profilo non previsto</v>
      </c>
      <c r="G179" s="76" t="str">
        <f t="shared" si="34"/>
        <v>3-OPERATORE SANITARIO SPECIALIZZATO-F2</v>
      </c>
      <c r="H179" s="76" t="str">
        <f t="shared" si="35"/>
        <v>F2-OPERATORE SANITARIO SPECIALIZZATO-2-3-F2</v>
      </c>
      <c r="I179" s="76">
        <f t="shared" si="28"/>
        <v>74</v>
      </c>
      <c r="J179" s="76">
        <f>COUNTIF($A$6:A179,"="&amp;A179)</f>
        <v>3</v>
      </c>
      <c r="K179" s="76" t="str">
        <f>EDR1!D209</f>
        <v>OPERATORE SANITARIO SPECIALIZZATO</v>
      </c>
      <c r="L179" s="76" t="str">
        <f>EDR1!C209</f>
        <v>F2</v>
      </c>
      <c r="M179" s="76" t="str">
        <f>EDR1!E209</f>
        <v>Ex profilo non previsto</v>
      </c>
      <c r="N179" s="76"/>
      <c r="O179" s="76"/>
      <c r="P179" s="82">
        <f>VLOOKUP(L179&amp;$K$2&amp;K179&amp;$K$2&amp;M179,EDR1!$A$36:$Q$268,16,FALSE)</f>
        <v>30</v>
      </c>
      <c r="Q179" s="82">
        <f>VLOOKUP(L179&amp;$K$2&amp;K179&amp;$K$2&amp;M179,EDR1!$A$36:$Q$268,17,FALSE)</f>
        <v>65</v>
      </c>
      <c r="R179" s="77">
        <f t="shared" si="29"/>
        <v>174</v>
      </c>
      <c r="S179" s="80">
        <f t="shared" si="30"/>
      </c>
      <c r="T179" s="77">
        <f t="shared" si="31"/>
      </c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</row>
    <row r="180" spans="1:33" ht="12.75" hidden="1">
      <c r="A180" s="76" t="str">
        <f t="shared" si="32"/>
        <v>F2-OPERATORE SPECIALIZZATO CIRCOLAZIONE</v>
      </c>
      <c r="B180" s="81" t="str">
        <f t="shared" si="25"/>
        <v>1-F2</v>
      </c>
      <c r="C180" s="81">
        <f>COUNTIF($B$6:B180,"="&amp;B180)</f>
        <v>8</v>
      </c>
      <c r="D180" s="81" t="str">
        <f t="shared" si="26"/>
        <v>8-1-F2</v>
      </c>
      <c r="E180" s="76" t="str">
        <f t="shared" si="33"/>
        <v>OPERATORE SPECIALIZZATO CIRCOLAZIONE-Assistente di Stazione(par. 135)</v>
      </c>
      <c r="F180" s="76" t="str">
        <f t="shared" si="27"/>
        <v>OPERATORE SPECIALIZZATO CIRCOLAZIONE-F2-Assistente di Stazione(par. 135)</v>
      </c>
      <c r="G180" s="76" t="str">
        <f t="shared" si="34"/>
        <v>1-OPERATORE SPECIALIZZATO CIRCOLAZIONE-F2</v>
      </c>
      <c r="H180" s="76" t="str">
        <f t="shared" si="35"/>
        <v>F2-OPERATORE SPECIALIZZATO CIRCOLAZIONE-8-1-F2</v>
      </c>
      <c r="I180" s="76">
        <f t="shared" si="28"/>
        <v>75</v>
      </c>
      <c r="J180" s="76">
        <f>COUNTIF($A$6:A180,"="&amp;A180)</f>
        <v>1</v>
      </c>
      <c r="K180" s="76" t="str">
        <f>EDR1!D210</f>
        <v>OPERATORE SPECIALIZZATO CIRCOLAZIONE</v>
      </c>
      <c r="L180" s="76" t="str">
        <f>EDR1!C210</f>
        <v>F2</v>
      </c>
      <c r="M180" s="76" t="str">
        <f>EDR1!E210</f>
        <v>Assistente di Stazione(par. 135)</v>
      </c>
      <c r="N180" s="76"/>
      <c r="O180" s="76"/>
      <c r="P180" s="82">
        <f>VLOOKUP(L180&amp;$K$2&amp;K180&amp;$K$2&amp;M180,EDR1!$A$36:$Q$268,16,FALSE)</f>
        <v>30</v>
      </c>
      <c r="Q180" s="82">
        <f>VLOOKUP(L180&amp;$K$2&amp;K180&amp;$K$2&amp;M180,EDR1!$A$36:$Q$268,17,FALSE)</f>
        <v>65</v>
      </c>
      <c r="R180" s="77">
        <f t="shared" si="29"/>
        <v>175</v>
      </c>
      <c r="S180" s="80">
        <f t="shared" si="30"/>
      </c>
      <c r="T180" s="77">
        <f t="shared" si="31"/>
      </c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</row>
    <row r="181" spans="1:33" ht="12.75" hidden="1">
      <c r="A181" s="76" t="str">
        <f t="shared" si="32"/>
        <v>F2-OPERATORE SPECIALIZZATO CIRCOLAZIONE</v>
      </c>
      <c r="B181" s="81" t="str">
        <f t="shared" si="25"/>
        <v>2-F2</v>
      </c>
      <c r="C181" s="81">
        <f>COUNTIF($B$6:B181,"="&amp;B181)</f>
        <v>7</v>
      </c>
      <c r="D181" s="81" t="str">
        <f t="shared" si="26"/>
        <v>7-2-F2</v>
      </c>
      <c r="E181" s="76" t="str">
        <f t="shared" si="33"/>
        <v>OPERATORE SPECIALIZZATO CIRCOLAZIONE-Assistente di Stazione(par. 142)</v>
      </c>
      <c r="F181" s="76" t="str">
        <f t="shared" si="27"/>
        <v>OPERATORE SPECIALIZZATO CIRCOLAZIONE-F2-Assistente di Stazione(par. 142)</v>
      </c>
      <c r="G181" s="76" t="str">
        <f t="shared" si="34"/>
        <v>2-OPERATORE SPECIALIZZATO CIRCOLAZIONE-F2</v>
      </c>
      <c r="H181" s="76" t="str">
        <f t="shared" si="35"/>
        <v>F2-OPERATORE SPECIALIZZATO CIRCOLAZIONE-7-2-F2</v>
      </c>
      <c r="I181" s="76">
        <f t="shared" si="28"/>
        <v>75</v>
      </c>
      <c r="J181" s="76">
        <f>COUNTIF($A$6:A181,"="&amp;A181)</f>
        <v>2</v>
      </c>
      <c r="K181" s="76" t="str">
        <f>EDR1!D211</f>
        <v>OPERATORE SPECIALIZZATO CIRCOLAZIONE</v>
      </c>
      <c r="L181" s="76" t="str">
        <f>EDR1!C211</f>
        <v>F2</v>
      </c>
      <c r="M181" s="76" t="str">
        <f>EDR1!E211</f>
        <v>Assistente di Stazione(par. 142)</v>
      </c>
      <c r="N181" s="76"/>
      <c r="O181" s="76"/>
      <c r="P181" s="82">
        <f>VLOOKUP(L181&amp;$K$2&amp;K181&amp;$K$2&amp;M181,EDR1!$A$36:$Q$268,16,FALSE)</f>
        <v>30</v>
      </c>
      <c r="Q181" s="82">
        <f>VLOOKUP(L181&amp;$K$2&amp;K181&amp;$K$2&amp;M181,EDR1!$A$36:$Q$268,17,FALSE)</f>
        <v>65</v>
      </c>
      <c r="R181" s="77">
        <f t="shared" si="29"/>
        <v>176</v>
      </c>
      <c r="S181" s="80">
        <f t="shared" si="30"/>
      </c>
      <c r="T181" s="77">
        <f t="shared" si="31"/>
      </c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</row>
    <row r="182" spans="1:33" ht="12.75" hidden="1">
      <c r="A182" s="76" t="str">
        <f t="shared" si="32"/>
        <v>F2-OPERATORE SPECIALIZZATO CIRCOLAZIONE</v>
      </c>
      <c r="B182" s="81" t="str">
        <f t="shared" si="25"/>
        <v>3-F2</v>
      </c>
      <c r="C182" s="81">
        <f>COUNTIF($B$6:B182,"="&amp;B182)</f>
        <v>3</v>
      </c>
      <c r="D182" s="81" t="str">
        <f t="shared" si="26"/>
        <v>3-3-F2</v>
      </c>
      <c r="E182" s="76" t="str">
        <f t="shared" si="33"/>
        <v>OPERATORE SPECIALIZZATO CIRCOLAZIONE-Deviatore (par. 135) </v>
      </c>
      <c r="F182" s="76" t="str">
        <f t="shared" si="27"/>
        <v>OPERATORE SPECIALIZZATO CIRCOLAZIONE-F2-Deviatore (par. 135) </v>
      </c>
      <c r="G182" s="76" t="str">
        <f t="shared" si="34"/>
        <v>3-OPERATORE SPECIALIZZATO CIRCOLAZIONE-F2</v>
      </c>
      <c r="H182" s="76" t="str">
        <f t="shared" si="35"/>
        <v>F2-OPERATORE SPECIALIZZATO CIRCOLAZIONE-3-3-F2</v>
      </c>
      <c r="I182" s="76">
        <f t="shared" si="28"/>
        <v>75</v>
      </c>
      <c r="J182" s="76">
        <f>COUNTIF($A$6:A182,"="&amp;A182)</f>
        <v>3</v>
      </c>
      <c r="K182" s="76" t="str">
        <f>EDR1!D212</f>
        <v>OPERATORE SPECIALIZZATO CIRCOLAZIONE</v>
      </c>
      <c r="L182" s="76" t="str">
        <f>EDR1!C212</f>
        <v>F2</v>
      </c>
      <c r="M182" s="76" t="str">
        <f>EDR1!E212</f>
        <v>Deviatore (par. 135) </v>
      </c>
      <c r="N182" s="76"/>
      <c r="O182" s="76"/>
      <c r="P182" s="82">
        <f>VLOOKUP(L182&amp;$K$2&amp;K182&amp;$K$2&amp;M182,EDR1!$A$36:$Q$268,16,FALSE)</f>
        <v>25</v>
      </c>
      <c r="Q182" s="82">
        <f>VLOOKUP(L182&amp;$K$2&amp;K182&amp;$K$2&amp;M182,EDR1!$A$36:$Q$268,17,FALSE)</f>
        <v>65</v>
      </c>
      <c r="R182" s="77">
        <f t="shared" si="29"/>
        <v>177</v>
      </c>
      <c r="S182" s="80">
        <f t="shared" si="30"/>
      </c>
      <c r="T182" s="77">
        <f t="shared" si="31"/>
      </c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</row>
    <row r="183" spans="1:33" ht="12.75" hidden="1">
      <c r="A183" s="76" t="str">
        <f t="shared" si="32"/>
        <v>F2-OPERATORE SPECIALIZZATO CIRCOLAZIONE</v>
      </c>
      <c r="B183" s="81" t="str">
        <f t="shared" si="25"/>
        <v>4-F2</v>
      </c>
      <c r="C183" s="81">
        <f>COUNTIF($B$6:B183,"="&amp;B183)</f>
        <v>1</v>
      </c>
      <c r="D183" s="81" t="str">
        <f t="shared" si="26"/>
        <v>1-4-F2</v>
      </c>
      <c r="E183" s="76" t="str">
        <f t="shared" si="33"/>
        <v>OPERATORE SPECIALIZZATO CIRCOLAZIONE-Deviatore (par. 142)</v>
      </c>
      <c r="F183" s="76" t="str">
        <f t="shared" si="27"/>
        <v>OPERATORE SPECIALIZZATO CIRCOLAZIONE-F2-Deviatore (par. 142)</v>
      </c>
      <c r="G183" s="76" t="str">
        <f t="shared" si="34"/>
        <v>4-OPERATORE SPECIALIZZATO CIRCOLAZIONE-F2</v>
      </c>
      <c r="H183" s="76" t="str">
        <f t="shared" si="35"/>
        <v>F2-OPERATORE SPECIALIZZATO CIRCOLAZIONE-1-4-F2</v>
      </c>
      <c r="I183" s="76">
        <f t="shared" si="28"/>
        <v>75</v>
      </c>
      <c r="J183" s="76">
        <f>COUNTIF($A$6:A183,"="&amp;A183)</f>
        <v>4</v>
      </c>
      <c r="K183" s="76" t="str">
        <f>EDR1!D213</f>
        <v>OPERATORE SPECIALIZZATO CIRCOLAZIONE</v>
      </c>
      <c r="L183" s="76" t="str">
        <f>EDR1!C213</f>
        <v>F2</v>
      </c>
      <c r="M183" s="76" t="str">
        <f>EDR1!E213</f>
        <v>Deviatore (par. 142)</v>
      </c>
      <c r="N183" s="76"/>
      <c r="O183" s="76"/>
      <c r="P183" s="82">
        <f>VLOOKUP(L183&amp;$K$2&amp;K183&amp;$K$2&amp;M183,EDR1!$A$36:$Q$268,16,FALSE)</f>
        <v>25</v>
      </c>
      <c r="Q183" s="82">
        <f>VLOOKUP(L183&amp;$K$2&amp;K183&amp;$K$2&amp;M183,EDR1!$A$36:$Q$268,17,FALSE)</f>
        <v>65</v>
      </c>
      <c r="R183" s="77">
        <f t="shared" si="29"/>
        <v>178</v>
      </c>
      <c r="S183" s="80">
        <f t="shared" si="30"/>
      </c>
      <c r="T183" s="77">
        <f t="shared" si="31"/>
      </c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</row>
    <row r="184" spans="1:33" ht="12.75" hidden="1">
      <c r="A184" s="76" t="str">
        <f t="shared" si="32"/>
        <v>F2-OPERATORE SPECIALIZZATO CIRCOLAZIONE</v>
      </c>
      <c r="B184" s="81" t="str">
        <f t="shared" si="25"/>
        <v>5-F2</v>
      </c>
      <c r="C184" s="81">
        <f>COUNTIF($B$6:B184,"="&amp;B184)</f>
        <v>1</v>
      </c>
      <c r="D184" s="81" t="str">
        <f t="shared" si="26"/>
        <v>1-5-F2</v>
      </c>
      <c r="E184" s="76" t="str">
        <f t="shared" si="33"/>
        <v>OPERATORE SPECIALIZZATO CIRCOLAZIONE-Operatore della Circolazione (par. 135)</v>
      </c>
      <c r="F184" s="76" t="str">
        <f t="shared" si="27"/>
        <v>OPERATORE SPECIALIZZATO CIRCOLAZIONE-F2-Operatore della Circolazione (par. 135)</v>
      </c>
      <c r="G184" s="76" t="str">
        <f t="shared" si="34"/>
        <v>5-OPERATORE SPECIALIZZATO CIRCOLAZIONE-F2</v>
      </c>
      <c r="H184" s="76" t="str">
        <f t="shared" si="35"/>
        <v>F2-OPERATORE SPECIALIZZATO CIRCOLAZIONE-1-5-F2</v>
      </c>
      <c r="I184" s="76">
        <f t="shared" si="28"/>
        <v>75</v>
      </c>
      <c r="J184" s="76">
        <f>COUNTIF($A$6:A184,"="&amp;A184)</f>
        <v>5</v>
      </c>
      <c r="K184" s="76" t="str">
        <f>EDR1!D214</f>
        <v>OPERATORE SPECIALIZZATO CIRCOLAZIONE</v>
      </c>
      <c r="L184" s="76" t="str">
        <f>EDR1!C214</f>
        <v>F2</v>
      </c>
      <c r="M184" s="76" t="str">
        <f>EDR1!E214</f>
        <v>Operatore della Circolazione (par. 135)</v>
      </c>
      <c r="N184" s="76"/>
      <c r="O184" s="76"/>
      <c r="P184" s="82">
        <f>VLOOKUP(L184&amp;$K$2&amp;K184&amp;$K$2&amp;M184,EDR1!$A$36:$Q$268,16,FALSE)</f>
        <v>30</v>
      </c>
      <c r="Q184" s="82">
        <f>VLOOKUP(L184&amp;$K$2&amp;K184&amp;$K$2&amp;M184,EDR1!$A$36:$Q$268,17,FALSE)</f>
        <v>65</v>
      </c>
      <c r="R184" s="77">
        <f t="shared" si="29"/>
        <v>179</v>
      </c>
      <c r="S184" s="80">
        <f t="shared" si="30"/>
      </c>
      <c r="T184" s="77">
        <f t="shared" si="31"/>
      </c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</row>
    <row r="185" spans="1:33" ht="12.75" hidden="1">
      <c r="A185" s="76" t="str">
        <f t="shared" si="32"/>
        <v>F2-OPERATORE SPECIALIZZATO CIRCOLAZIONE</v>
      </c>
      <c r="B185" s="81" t="str">
        <f t="shared" si="25"/>
        <v>6-F2</v>
      </c>
      <c r="C185" s="81">
        <f>COUNTIF($B$6:B185,"="&amp;B185)</f>
        <v>1</v>
      </c>
      <c r="D185" s="81" t="str">
        <f t="shared" si="26"/>
        <v>1-6-F2</v>
      </c>
      <c r="E185" s="76" t="str">
        <f t="shared" si="33"/>
        <v>OPERATORE SPECIALIZZATO CIRCOLAZIONE-Operatore della Circolazione (par. 142)</v>
      </c>
      <c r="F185" s="76" t="str">
        <f t="shared" si="27"/>
        <v>OPERATORE SPECIALIZZATO CIRCOLAZIONE-F2-Operatore della Circolazione (par. 142)</v>
      </c>
      <c r="G185" s="76" t="str">
        <f t="shared" si="34"/>
        <v>6-OPERATORE SPECIALIZZATO CIRCOLAZIONE-F2</v>
      </c>
      <c r="H185" s="76" t="str">
        <f t="shared" si="35"/>
        <v>F2-OPERATORE SPECIALIZZATO CIRCOLAZIONE-1-6-F2</v>
      </c>
      <c r="I185" s="76">
        <f t="shared" si="28"/>
        <v>75</v>
      </c>
      <c r="J185" s="76">
        <f>COUNTIF($A$6:A185,"="&amp;A185)</f>
        <v>6</v>
      </c>
      <c r="K185" s="76" t="str">
        <f>EDR1!D215</f>
        <v>OPERATORE SPECIALIZZATO CIRCOLAZIONE</v>
      </c>
      <c r="L185" s="76" t="str">
        <f>EDR1!C215</f>
        <v>F2</v>
      </c>
      <c r="M185" s="76" t="str">
        <f>EDR1!E215</f>
        <v>Operatore della Circolazione (par. 142)</v>
      </c>
      <c r="N185" s="76"/>
      <c r="O185" s="76"/>
      <c r="P185" s="82">
        <f>VLOOKUP(L185&amp;$K$2&amp;K185&amp;$K$2&amp;M185,EDR1!$A$36:$Q$268,16,FALSE)</f>
        <v>30</v>
      </c>
      <c r="Q185" s="82">
        <f>VLOOKUP(L185&amp;$K$2&amp;K185&amp;$K$2&amp;M185,EDR1!$A$36:$Q$268,17,FALSE)</f>
        <v>65</v>
      </c>
      <c r="R185" s="77">
        <f t="shared" si="29"/>
        <v>180</v>
      </c>
      <c r="S185" s="80">
        <f t="shared" si="30"/>
      </c>
      <c r="T185" s="77">
        <f t="shared" si="31"/>
      </c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</row>
    <row r="186" spans="1:33" ht="12.75" hidden="1">
      <c r="A186" s="76" t="str">
        <f t="shared" si="32"/>
        <v>F2-OPERATORE SPECIALIZZATO CIRCOLAZIONE</v>
      </c>
      <c r="B186" s="81" t="str">
        <f t="shared" si="25"/>
        <v>7-F2</v>
      </c>
      <c r="C186" s="81">
        <f>COUNTIF($B$6:B186,"="&amp;B186)</f>
        <v>1</v>
      </c>
      <c r="D186" s="81" t="str">
        <f t="shared" si="26"/>
        <v>1-7-F2</v>
      </c>
      <c r="E186" s="76" t="str">
        <f t="shared" si="33"/>
        <v>OPERATORE SPECIALIZZATO CIRCOLAZIONE-Manovratore (par. 135)</v>
      </c>
      <c r="F186" s="76" t="str">
        <f t="shared" si="27"/>
        <v>OPERATORE SPECIALIZZATO CIRCOLAZIONE-F2-Manovratore (par. 135)</v>
      </c>
      <c r="G186" s="76" t="str">
        <f t="shared" si="34"/>
        <v>7-OPERATORE SPECIALIZZATO CIRCOLAZIONE-F2</v>
      </c>
      <c r="H186" s="76" t="str">
        <f t="shared" si="35"/>
        <v>F2-OPERATORE SPECIALIZZATO CIRCOLAZIONE-1-7-F2</v>
      </c>
      <c r="I186" s="76">
        <f t="shared" si="28"/>
        <v>75</v>
      </c>
      <c r="J186" s="76">
        <f>COUNTIF($A$6:A186,"="&amp;A186)</f>
        <v>7</v>
      </c>
      <c r="K186" s="76" t="str">
        <f>EDR1!D216</f>
        <v>OPERATORE SPECIALIZZATO CIRCOLAZIONE</v>
      </c>
      <c r="L186" s="76" t="str">
        <f>EDR1!C216</f>
        <v>F2</v>
      </c>
      <c r="M186" s="76" t="str">
        <f>EDR1!E216</f>
        <v>Manovratore (par. 135)</v>
      </c>
      <c r="N186" s="76"/>
      <c r="O186" s="76"/>
      <c r="P186" s="82">
        <f>VLOOKUP(L186&amp;$K$2&amp;K186&amp;$K$2&amp;M186,EDR1!$A$36:$Q$268,16,FALSE)</f>
        <v>25</v>
      </c>
      <c r="Q186" s="82">
        <f>VLOOKUP(L186&amp;$K$2&amp;K186&amp;$K$2&amp;M186,EDR1!$A$36:$Q$268,17,FALSE)</f>
        <v>58</v>
      </c>
      <c r="R186" s="77">
        <f t="shared" si="29"/>
        <v>181</v>
      </c>
      <c r="S186" s="80">
        <f t="shared" si="30"/>
      </c>
      <c r="T186" s="77">
        <f t="shared" si="31"/>
      </c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</row>
    <row r="187" spans="1:33" ht="12.75" hidden="1">
      <c r="A187" s="76" t="str">
        <f t="shared" si="32"/>
        <v>F2-OPERATORE SPECIALIZZATO CIRCOLAZIONE</v>
      </c>
      <c r="B187" s="81" t="str">
        <f t="shared" si="25"/>
        <v>8-F2</v>
      </c>
      <c r="C187" s="81">
        <f>COUNTIF($B$6:B187,"="&amp;B187)</f>
        <v>1</v>
      </c>
      <c r="D187" s="81" t="str">
        <f t="shared" si="26"/>
        <v>1-8-F2</v>
      </c>
      <c r="E187" s="76" t="str">
        <f t="shared" si="33"/>
        <v>OPERATORE SPECIALIZZATO CIRCOLAZIONE-Manovratore (par. 142)</v>
      </c>
      <c r="F187" s="76" t="str">
        <f t="shared" si="27"/>
        <v>OPERATORE SPECIALIZZATO CIRCOLAZIONE-F2-Manovratore (par. 142)</v>
      </c>
      <c r="G187" s="76" t="str">
        <f t="shared" si="34"/>
        <v>8-OPERATORE SPECIALIZZATO CIRCOLAZIONE-F2</v>
      </c>
      <c r="H187" s="76" t="str">
        <f t="shared" si="35"/>
        <v>F2-OPERATORE SPECIALIZZATO CIRCOLAZIONE-1-8-F2</v>
      </c>
      <c r="I187" s="76">
        <f t="shared" si="28"/>
        <v>75</v>
      </c>
      <c r="J187" s="76">
        <f>COUNTIF($A$6:A187,"="&amp;A187)</f>
        <v>8</v>
      </c>
      <c r="K187" s="76" t="str">
        <f>EDR1!D217</f>
        <v>OPERATORE SPECIALIZZATO CIRCOLAZIONE</v>
      </c>
      <c r="L187" s="76" t="str">
        <f>EDR1!C217</f>
        <v>F2</v>
      </c>
      <c r="M187" s="76" t="str">
        <f>EDR1!E217</f>
        <v>Manovratore (par. 142)</v>
      </c>
      <c r="N187" s="76"/>
      <c r="O187" s="76"/>
      <c r="P187" s="82">
        <f>VLOOKUP(L187&amp;$K$2&amp;K187&amp;$K$2&amp;M187,EDR1!$A$36:$Q$268,16,FALSE)</f>
        <v>25</v>
      </c>
      <c r="Q187" s="82">
        <f>VLOOKUP(L187&amp;$K$2&amp;K187&amp;$K$2&amp;M187,EDR1!$A$36:$Q$268,17,FALSE)</f>
        <v>58</v>
      </c>
      <c r="R187" s="77">
        <f t="shared" si="29"/>
        <v>182</v>
      </c>
      <c r="S187" s="80">
        <f t="shared" si="30"/>
      </c>
      <c r="T187" s="77">
        <f t="shared" si="31"/>
      </c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</row>
    <row r="188" spans="1:33" ht="12.75" hidden="1">
      <c r="A188" s="76" t="str">
        <f t="shared" si="32"/>
        <v>F2-OPERATORE SPECIALIZZATO CIRCOLAZIONE</v>
      </c>
      <c r="B188" s="81" t="str">
        <f t="shared" si="25"/>
        <v>9-F2</v>
      </c>
      <c r="C188" s="81">
        <f>COUNTIF($B$6:B188,"="&amp;B188)</f>
        <v>1</v>
      </c>
      <c r="D188" s="81" t="str">
        <f t="shared" si="26"/>
        <v>1-9-F2</v>
      </c>
      <c r="E188" s="76" t="str">
        <f t="shared" si="33"/>
        <v>OPERATORE SPECIALIZZATO CIRCOLAZIONE-Ex profilo non previsto</v>
      </c>
      <c r="F188" s="76" t="str">
        <f t="shared" si="27"/>
        <v>OPERATORE SPECIALIZZATO CIRCOLAZIONE-F2-Ex profilo non previsto</v>
      </c>
      <c r="G188" s="76" t="str">
        <f t="shared" si="34"/>
        <v>9-OPERATORE SPECIALIZZATO CIRCOLAZIONE-F2</v>
      </c>
      <c r="H188" s="76" t="str">
        <f t="shared" si="35"/>
        <v>F2-OPERATORE SPECIALIZZATO CIRCOLAZIONE-1-9-F2</v>
      </c>
      <c r="I188" s="76">
        <f t="shared" si="28"/>
        <v>75</v>
      </c>
      <c r="J188" s="76">
        <f>COUNTIF($A$6:A188,"="&amp;A188)</f>
        <v>9</v>
      </c>
      <c r="K188" s="76" t="str">
        <f>EDR1!D218</f>
        <v>OPERATORE SPECIALIZZATO CIRCOLAZIONE</v>
      </c>
      <c r="L188" s="76" t="str">
        <f>EDR1!C218</f>
        <v>F2</v>
      </c>
      <c r="M188" s="76" t="str">
        <f>EDR1!E218</f>
        <v>Ex profilo non previsto</v>
      </c>
      <c r="N188" s="76"/>
      <c r="O188" s="76"/>
      <c r="P188" s="82">
        <f>VLOOKUP(L188&amp;$K$2&amp;K188&amp;$K$2&amp;M188,EDR1!$A$36:$Q$268,16,FALSE)</f>
        <v>30</v>
      </c>
      <c r="Q188" s="82">
        <f>VLOOKUP(L188&amp;$K$2&amp;K188&amp;$K$2&amp;M188,EDR1!$A$36:$Q$268,17,FALSE)</f>
        <v>65</v>
      </c>
      <c r="R188" s="77">
        <f t="shared" si="29"/>
        <v>183</v>
      </c>
      <c r="S188" s="80">
        <f t="shared" si="30"/>
      </c>
      <c r="T188" s="77">
        <f t="shared" si="31"/>
      </c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</row>
    <row r="189" spans="1:33" ht="12.75" hidden="1">
      <c r="A189" s="76" t="str">
        <f t="shared" si="32"/>
        <v>F2-OPERATORE SPEC.TO MANUTENZIONE</v>
      </c>
      <c r="B189" s="81" t="str">
        <f t="shared" si="25"/>
        <v>1-F2</v>
      </c>
      <c r="C189" s="81">
        <f>COUNTIF($B$6:B189,"="&amp;B189)</f>
        <v>9</v>
      </c>
      <c r="D189" s="81" t="str">
        <f t="shared" si="26"/>
        <v>9-1-F2</v>
      </c>
      <c r="E189" s="76" t="str">
        <f t="shared" si="33"/>
        <v>OPERATORE SPEC.TO MANUTENZIONE-Operaio Qualificato (par. 135)</v>
      </c>
      <c r="F189" s="76" t="str">
        <f t="shared" si="27"/>
        <v>OPERATORE SPEC.TO MANUTENZIONE-F2-Operaio Qualificato (par. 135)</v>
      </c>
      <c r="G189" s="76" t="str">
        <f t="shared" si="34"/>
        <v>1-OPERATORE SPEC.TO MANUTENZIONE-F2</v>
      </c>
      <c r="H189" s="76" t="str">
        <f t="shared" si="35"/>
        <v>F2-OPERATORE SPEC.TO MANUTENZIONE-9-1-F2</v>
      </c>
      <c r="I189" s="76">
        <f t="shared" si="28"/>
        <v>76</v>
      </c>
      <c r="J189" s="76">
        <f>COUNTIF($A$6:A189,"="&amp;A189)</f>
        <v>1</v>
      </c>
      <c r="K189" s="76" t="str">
        <f>EDR1!D219</f>
        <v>OPERATORE SPEC.TO MANUTENZIONE</v>
      </c>
      <c r="L189" s="76" t="str">
        <f>EDR1!C219</f>
        <v>F2</v>
      </c>
      <c r="M189" s="76" t="str">
        <f>EDR1!E219</f>
        <v>Operaio Qualificato (par. 135)</v>
      </c>
      <c r="N189" s="76"/>
      <c r="O189" s="76"/>
      <c r="P189" s="82">
        <f>VLOOKUP(L189&amp;$K$2&amp;K189&amp;$K$2&amp;M189,EDR1!$A$36:$Q$268,16,FALSE)</f>
        <v>25</v>
      </c>
      <c r="Q189" s="82">
        <f>VLOOKUP(L189&amp;$K$2&amp;K189&amp;$K$2&amp;M189,EDR1!$A$36:$Q$268,17,FALSE)</f>
        <v>65</v>
      </c>
      <c r="R189" s="77">
        <f t="shared" si="29"/>
        <v>184</v>
      </c>
      <c r="S189" s="80">
        <f t="shared" si="30"/>
      </c>
      <c r="T189" s="77">
        <f t="shared" si="31"/>
      </c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</row>
    <row r="190" spans="1:33" ht="12.75" hidden="1">
      <c r="A190" s="76" t="str">
        <f t="shared" si="32"/>
        <v>F2-OPERATORE SPEC.TO MANUTENZIONE</v>
      </c>
      <c r="B190" s="81" t="str">
        <f t="shared" si="25"/>
        <v>2-F2</v>
      </c>
      <c r="C190" s="81">
        <f>COUNTIF($B$6:B190,"="&amp;B190)</f>
        <v>8</v>
      </c>
      <c r="D190" s="81" t="str">
        <f t="shared" si="26"/>
        <v>8-2-F2</v>
      </c>
      <c r="E190" s="76" t="str">
        <f t="shared" si="33"/>
        <v>OPERATORE SPEC.TO MANUTENZIONE-Operaio Qualificato (par. 142)</v>
      </c>
      <c r="F190" s="76" t="str">
        <f t="shared" si="27"/>
        <v>OPERATORE SPEC.TO MANUTENZIONE-F2-Operaio Qualificato (par. 142)</v>
      </c>
      <c r="G190" s="76" t="str">
        <f t="shared" si="34"/>
        <v>2-OPERATORE SPEC.TO MANUTENZIONE-F2</v>
      </c>
      <c r="H190" s="76" t="str">
        <f t="shared" si="35"/>
        <v>F2-OPERATORE SPEC.TO MANUTENZIONE-8-2-F2</v>
      </c>
      <c r="I190" s="76">
        <f t="shared" si="28"/>
        <v>76</v>
      </c>
      <c r="J190" s="76">
        <f>COUNTIF($A$6:A190,"="&amp;A190)</f>
        <v>2</v>
      </c>
      <c r="K190" s="76" t="str">
        <f>EDR1!D220</f>
        <v>OPERATORE SPEC.TO MANUTENZIONE</v>
      </c>
      <c r="L190" s="76" t="str">
        <f>EDR1!C220</f>
        <v>F2</v>
      </c>
      <c r="M190" s="76" t="str">
        <f>EDR1!E220</f>
        <v>Operaio Qualificato (par. 142)</v>
      </c>
      <c r="N190" s="76"/>
      <c r="O190" s="76"/>
      <c r="P190" s="82">
        <f>VLOOKUP(L190&amp;$K$2&amp;K190&amp;$K$2&amp;M190,EDR1!$A$36:$Q$268,16,FALSE)</f>
        <v>25</v>
      </c>
      <c r="Q190" s="82">
        <f>VLOOKUP(L190&amp;$K$2&amp;K190&amp;$K$2&amp;M190,EDR1!$A$36:$Q$268,17,FALSE)</f>
        <v>65</v>
      </c>
      <c r="R190" s="77">
        <f t="shared" si="29"/>
        <v>185</v>
      </c>
      <c r="S190" s="80">
        <f t="shared" si="30"/>
      </c>
      <c r="T190" s="77">
        <f t="shared" si="31"/>
      </c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</row>
    <row r="191" spans="1:33" ht="12.75" hidden="1">
      <c r="A191" s="76" t="str">
        <f t="shared" si="32"/>
        <v>F2-OPERATORE SPEC.TO MANUTENZIONE</v>
      </c>
      <c r="B191" s="81" t="str">
        <f t="shared" si="25"/>
        <v>3-F2</v>
      </c>
      <c r="C191" s="81">
        <f>COUNTIF($B$6:B191,"="&amp;B191)</f>
        <v>4</v>
      </c>
      <c r="D191" s="81" t="str">
        <f t="shared" si="26"/>
        <v>4-3-F2</v>
      </c>
      <c r="E191" s="76" t="str">
        <f t="shared" si="33"/>
        <v>OPERATORE SPEC.TO MANUTENZIONE-Operatore della Manutenzione (par. 135)</v>
      </c>
      <c r="F191" s="76" t="str">
        <f t="shared" si="27"/>
        <v>OPERATORE SPEC.TO MANUTENZIONE-F2-Operatore della Manutenzione (par. 135)</v>
      </c>
      <c r="G191" s="76" t="str">
        <f t="shared" si="34"/>
        <v>3-OPERATORE SPEC.TO MANUTENZIONE-F2</v>
      </c>
      <c r="H191" s="76" t="str">
        <f t="shared" si="35"/>
        <v>F2-OPERATORE SPEC.TO MANUTENZIONE-4-3-F2</v>
      </c>
      <c r="I191" s="76">
        <f t="shared" si="28"/>
        <v>76</v>
      </c>
      <c r="J191" s="76">
        <f>COUNTIF($A$6:A191,"="&amp;A191)</f>
        <v>3</v>
      </c>
      <c r="K191" s="76" t="str">
        <f>EDR1!D221</f>
        <v>OPERATORE SPEC.TO MANUTENZIONE</v>
      </c>
      <c r="L191" s="76" t="str">
        <f>EDR1!C221</f>
        <v>F2</v>
      </c>
      <c r="M191" s="76" t="str">
        <f>EDR1!E221</f>
        <v>Operatore della Manutenzione (par. 135)</v>
      </c>
      <c r="N191" s="76"/>
      <c r="O191" s="76"/>
      <c r="P191" s="82">
        <f>VLOOKUP(L191&amp;$K$2&amp;K191&amp;$K$2&amp;M191,EDR1!$A$36:$Q$268,16,FALSE)</f>
        <v>25</v>
      </c>
      <c r="Q191" s="82">
        <f>VLOOKUP(L191&amp;$K$2&amp;K191&amp;$K$2&amp;M191,EDR1!$A$36:$Q$268,17,FALSE)</f>
        <v>65</v>
      </c>
      <c r="R191" s="77">
        <f t="shared" si="29"/>
        <v>186</v>
      </c>
      <c r="S191" s="80">
        <f t="shared" si="30"/>
      </c>
      <c r="T191" s="77">
        <f t="shared" si="31"/>
      </c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</row>
    <row r="192" spans="1:33" ht="12.75" hidden="1">
      <c r="A192" s="76" t="str">
        <f t="shared" si="32"/>
        <v>F2-OPERATORE SPEC.TO MANUTENZIONE</v>
      </c>
      <c r="B192" s="81" t="str">
        <f t="shared" si="25"/>
        <v>4-F2</v>
      </c>
      <c r="C192" s="81">
        <f>COUNTIF($B$6:B192,"="&amp;B192)</f>
        <v>2</v>
      </c>
      <c r="D192" s="81" t="str">
        <f t="shared" si="26"/>
        <v>2-4-F2</v>
      </c>
      <c r="E192" s="76" t="str">
        <f t="shared" si="33"/>
        <v>OPERATORE SPEC.TO MANUTENZIONE-Operatore della Manutenzione (par. 142)</v>
      </c>
      <c r="F192" s="76" t="str">
        <f t="shared" si="27"/>
        <v>OPERATORE SPEC.TO MANUTENZIONE-F2-Operatore della Manutenzione (par. 142)</v>
      </c>
      <c r="G192" s="76" t="str">
        <f t="shared" si="34"/>
        <v>4-OPERATORE SPEC.TO MANUTENZIONE-F2</v>
      </c>
      <c r="H192" s="76" t="str">
        <f t="shared" si="35"/>
        <v>F2-OPERATORE SPEC.TO MANUTENZIONE-2-4-F2</v>
      </c>
      <c r="I192" s="76">
        <f t="shared" si="28"/>
        <v>76</v>
      </c>
      <c r="J192" s="76">
        <f>COUNTIF($A$6:A192,"="&amp;A192)</f>
        <v>4</v>
      </c>
      <c r="K192" s="76" t="str">
        <f>EDR1!D222</f>
        <v>OPERATORE SPEC.TO MANUTENZIONE</v>
      </c>
      <c r="L192" s="76" t="str">
        <f>EDR1!C222</f>
        <v>F2</v>
      </c>
      <c r="M192" s="76" t="str">
        <f>EDR1!E222</f>
        <v>Operatore della Manutenzione (par. 142)</v>
      </c>
      <c r="N192" s="76"/>
      <c r="O192" s="76"/>
      <c r="P192" s="82">
        <f>VLOOKUP(L192&amp;$K$2&amp;K192&amp;$K$2&amp;M192,EDR1!$A$36:$Q$268,16,FALSE)</f>
        <v>25</v>
      </c>
      <c r="Q192" s="82">
        <f>VLOOKUP(L192&amp;$K$2&amp;K192&amp;$K$2&amp;M192,EDR1!$A$36:$Q$268,17,FALSE)</f>
        <v>65</v>
      </c>
      <c r="R192" s="77">
        <f t="shared" si="29"/>
        <v>187</v>
      </c>
      <c r="S192" s="80">
        <f t="shared" si="30"/>
      </c>
      <c r="T192" s="77">
        <f t="shared" si="31"/>
      </c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</row>
    <row r="193" spans="1:33" ht="12.75" hidden="1">
      <c r="A193" s="76" t="str">
        <f t="shared" si="32"/>
        <v>F2-OPERATORE SPEC.TO MANUTENZIONE</v>
      </c>
      <c r="B193" s="81" t="str">
        <f t="shared" si="25"/>
        <v>5-F2</v>
      </c>
      <c r="C193" s="81">
        <f>COUNTIF($B$6:B193,"="&amp;B193)</f>
        <v>2</v>
      </c>
      <c r="D193" s="81" t="str">
        <f t="shared" si="26"/>
        <v>2-5-F2</v>
      </c>
      <c r="E193" s="76" t="str">
        <f t="shared" si="33"/>
        <v>OPERATORE SPEC.TO MANUTENZIONE-Assistente di Magazzino (par. 135)</v>
      </c>
      <c r="F193" s="76" t="str">
        <f t="shared" si="27"/>
        <v>OPERATORE SPEC.TO MANUTENZIONE-F2-Assistente di Magazzino (par. 135)</v>
      </c>
      <c r="G193" s="76" t="str">
        <f t="shared" si="34"/>
        <v>5-OPERATORE SPEC.TO MANUTENZIONE-F2</v>
      </c>
      <c r="H193" s="76" t="str">
        <f t="shared" si="35"/>
        <v>F2-OPERATORE SPEC.TO MANUTENZIONE-2-5-F2</v>
      </c>
      <c r="I193" s="76">
        <f t="shared" si="28"/>
        <v>76</v>
      </c>
      <c r="J193" s="76">
        <f>COUNTIF($A$6:A193,"="&amp;A193)</f>
        <v>5</v>
      </c>
      <c r="K193" s="76" t="str">
        <f>EDR1!D223</f>
        <v>OPERATORE SPEC.TO MANUTENZIONE</v>
      </c>
      <c r="L193" s="76" t="str">
        <f>EDR1!C223</f>
        <v>F2</v>
      </c>
      <c r="M193" s="76" t="str">
        <f>EDR1!E223</f>
        <v>Assistente di Magazzino (par. 135)</v>
      </c>
      <c r="N193" s="76"/>
      <c r="O193" s="76"/>
      <c r="P193" s="82">
        <f>VLOOKUP(L193&amp;$K$2&amp;K193&amp;$K$2&amp;M193,EDR1!$A$36:$Q$268,16,FALSE)</f>
        <v>25</v>
      </c>
      <c r="Q193" s="82">
        <f>VLOOKUP(L193&amp;$K$2&amp;K193&amp;$K$2&amp;M193,EDR1!$A$36:$Q$268,17,FALSE)</f>
        <v>65</v>
      </c>
      <c r="R193" s="77">
        <f t="shared" si="29"/>
        <v>188</v>
      </c>
      <c r="S193" s="80">
        <f t="shared" si="30"/>
      </c>
      <c r="T193" s="77">
        <f t="shared" si="31"/>
      </c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</row>
    <row r="194" spans="1:33" ht="12.75" hidden="1">
      <c r="A194" s="76" t="str">
        <f t="shared" si="32"/>
        <v>F2-OPERATORE SPEC.TO MANUTENZIONE</v>
      </c>
      <c r="B194" s="81" t="str">
        <f t="shared" si="25"/>
        <v>6-F2</v>
      </c>
      <c r="C194" s="81">
        <f>COUNTIF($B$6:B194,"="&amp;B194)</f>
        <v>2</v>
      </c>
      <c r="D194" s="81" t="str">
        <f t="shared" si="26"/>
        <v>2-6-F2</v>
      </c>
      <c r="E194" s="76" t="str">
        <f t="shared" si="33"/>
        <v>OPERATORE SPEC.TO MANUTENZIONE-Assistente di Magazzino (par. 142)</v>
      </c>
      <c r="F194" s="76" t="str">
        <f t="shared" si="27"/>
        <v>OPERATORE SPEC.TO MANUTENZIONE-F2-Assistente di Magazzino (par. 142)</v>
      </c>
      <c r="G194" s="76" t="str">
        <f t="shared" si="34"/>
        <v>6-OPERATORE SPEC.TO MANUTENZIONE-F2</v>
      </c>
      <c r="H194" s="76" t="str">
        <f t="shared" si="35"/>
        <v>F2-OPERATORE SPEC.TO MANUTENZIONE-2-6-F2</v>
      </c>
      <c r="I194" s="76">
        <f t="shared" si="28"/>
        <v>76</v>
      </c>
      <c r="J194" s="76">
        <f>COUNTIF($A$6:A194,"="&amp;A194)</f>
        <v>6</v>
      </c>
      <c r="K194" s="76" t="str">
        <f>EDR1!D224</f>
        <v>OPERATORE SPEC.TO MANUTENZIONE</v>
      </c>
      <c r="L194" s="76" t="str">
        <f>EDR1!C224</f>
        <v>F2</v>
      </c>
      <c r="M194" s="76" t="str">
        <f>EDR1!E224</f>
        <v>Assistente di Magazzino (par. 142)</v>
      </c>
      <c r="N194" s="76"/>
      <c r="O194" s="76"/>
      <c r="P194" s="82">
        <f>VLOOKUP(L194&amp;$K$2&amp;K194&amp;$K$2&amp;M194,EDR1!$A$36:$Q$268,16,FALSE)</f>
        <v>25</v>
      </c>
      <c r="Q194" s="82">
        <f>VLOOKUP(L194&amp;$K$2&amp;K194&amp;$K$2&amp;M194,EDR1!$A$36:$Q$268,17,FALSE)</f>
        <v>65</v>
      </c>
      <c r="R194" s="77">
        <f t="shared" si="29"/>
        <v>189</v>
      </c>
      <c r="S194" s="80">
        <f t="shared" si="30"/>
      </c>
      <c r="T194" s="77">
        <f t="shared" si="31"/>
      </c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</row>
    <row r="195" spans="1:33" ht="12.75" hidden="1">
      <c r="A195" s="76" t="str">
        <f t="shared" si="32"/>
        <v>F2-OPERATORE SPEC.TO MANUTENZIONE</v>
      </c>
      <c r="B195" s="81" t="str">
        <f t="shared" si="25"/>
        <v>7-F2</v>
      </c>
      <c r="C195" s="81">
        <f>COUNTIF($B$6:B195,"="&amp;B195)</f>
        <v>2</v>
      </c>
      <c r="D195" s="81" t="str">
        <f t="shared" si="26"/>
        <v>2-7-F2</v>
      </c>
      <c r="E195" s="76" t="str">
        <f t="shared" si="33"/>
        <v>OPERATORE SPEC.TO MANUTENZIONE-Assistente di Deposito (par. 135)</v>
      </c>
      <c r="F195" s="76" t="str">
        <f t="shared" si="27"/>
        <v>OPERATORE SPEC.TO MANUTENZIONE-F2-Assistente di Deposito (par. 135)</v>
      </c>
      <c r="G195" s="76" t="str">
        <f t="shared" si="34"/>
        <v>7-OPERATORE SPEC.TO MANUTENZIONE-F2</v>
      </c>
      <c r="H195" s="76" t="str">
        <f t="shared" si="35"/>
        <v>F2-OPERATORE SPEC.TO MANUTENZIONE-2-7-F2</v>
      </c>
      <c r="I195" s="76">
        <f t="shared" si="28"/>
        <v>76</v>
      </c>
      <c r="J195" s="76">
        <f>COUNTIF($A$6:A195,"="&amp;A195)</f>
        <v>7</v>
      </c>
      <c r="K195" s="76" t="str">
        <f>EDR1!D225</f>
        <v>OPERATORE SPEC.TO MANUTENZIONE</v>
      </c>
      <c r="L195" s="76" t="str">
        <f>EDR1!C225</f>
        <v>F2</v>
      </c>
      <c r="M195" s="76" t="str">
        <f>EDR1!E225</f>
        <v>Assistente di Deposito (par. 135)</v>
      </c>
      <c r="N195" s="76"/>
      <c r="O195" s="76"/>
      <c r="P195" s="82">
        <f>VLOOKUP(L195&amp;$K$2&amp;K195&amp;$K$2&amp;M195,EDR1!$A$36:$Q$268,16,FALSE)</f>
        <v>25</v>
      </c>
      <c r="Q195" s="82">
        <f>VLOOKUP(L195&amp;$K$2&amp;K195&amp;$K$2&amp;M195,EDR1!$A$36:$Q$268,17,FALSE)</f>
        <v>58</v>
      </c>
      <c r="R195" s="77">
        <f t="shared" si="29"/>
        <v>190</v>
      </c>
      <c r="S195" s="80">
        <f t="shared" si="30"/>
      </c>
      <c r="T195" s="77">
        <f t="shared" si="31"/>
      </c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</row>
    <row r="196" spans="1:33" ht="12.75" hidden="1">
      <c r="A196" s="76" t="str">
        <f t="shared" si="32"/>
        <v>F2-OPERATORE SPEC.TO MANUTENZIONE</v>
      </c>
      <c r="B196" s="81" t="str">
        <f t="shared" si="25"/>
        <v>8-F2</v>
      </c>
      <c r="C196" s="81">
        <f>COUNTIF($B$6:B196,"="&amp;B196)</f>
        <v>2</v>
      </c>
      <c r="D196" s="81" t="str">
        <f t="shared" si="26"/>
        <v>2-8-F2</v>
      </c>
      <c r="E196" s="76" t="str">
        <f t="shared" si="33"/>
        <v>OPERATORE SPEC.TO MANUTENZIONE-Assistente di Deposito (par. 142)</v>
      </c>
      <c r="F196" s="76" t="str">
        <f t="shared" si="27"/>
        <v>OPERATORE SPEC.TO MANUTENZIONE-F2-Assistente di Deposito (par. 142)</v>
      </c>
      <c r="G196" s="76" t="str">
        <f t="shared" si="34"/>
        <v>8-OPERATORE SPEC.TO MANUTENZIONE-F2</v>
      </c>
      <c r="H196" s="76" t="str">
        <f t="shared" si="35"/>
        <v>F2-OPERATORE SPEC.TO MANUTENZIONE-2-8-F2</v>
      </c>
      <c r="I196" s="76">
        <f t="shared" si="28"/>
        <v>76</v>
      </c>
      <c r="J196" s="76">
        <f>COUNTIF($A$6:A196,"="&amp;A196)</f>
        <v>8</v>
      </c>
      <c r="K196" s="76" t="str">
        <f>EDR1!D226</f>
        <v>OPERATORE SPEC.TO MANUTENZIONE</v>
      </c>
      <c r="L196" s="76" t="str">
        <f>EDR1!C226</f>
        <v>F2</v>
      </c>
      <c r="M196" s="76" t="str">
        <f>EDR1!E226</f>
        <v>Assistente di Deposito (par. 142)</v>
      </c>
      <c r="N196" s="76"/>
      <c r="O196" s="76"/>
      <c r="P196" s="82">
        <f>VLOOKUP(L196&amp;$K$2&amp;K196&amp;$K$2&amp;M196,EDR1!$A$36:$Q$268,16,FALSE)</f>
        <v>25</v>
      </c>
      <c r="Q196" s="82">
        <f>VLOOKUP(L196&amp;$K$2&amp;K196&amp;$K$2&amp;M196,EDR1!$A$36:$Q$268,17,FALSE)</f>
        <v>58</v>
      </c>
      <c r="R196" s="77">
        <f t="shared" si="29"/>
        <v>191</v>
      </c>
      <c r="S196" s="80">
        <f t="shared" si="30"/>
      </c>
      <c r="T196" s="77">
        <f t="shared" si="31"/>
      </c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</row>
    <row r="197" spans="1:33" ht="12.75" hidden="1">
      <c r="A197" s="76" t="str">
        <f t="shared" si="32"/>
        <v>F2-OPERATORE SPEC.TO MANUTENZIONE</v>
      </c>
      <c r="B197" s="81" t="str">
        <f t="shared" si="25"/>
        <v>9-F2</v>
      </c>
      <c r="C197" s="81">
        <f>COUNTIF($B$6:B197,"="&amp;B197)</f>
        <v>2</v>
      </c>
      <c r="D197" s="81" t="str">
        <f t="shared" si="26"/>
        <v>2-9-F2</v>
      </c>
      <c r="E197" s="76" t="str">
        <f t="shared" si="33"/>
        <v>OPERATORE SPEC.TO MANUTENZIONE-Manutenzione Infrastrutture</v>
      </c>
      <c r="F197" s="76" t="str">
        <f t="shared" si="27"/>
        <v>OPERATORE SPEC.TO MANUTENZIONE-F2-Manutenzione Infrastrutture</v>
      </c>
      <c r="G197" s="76" t="str">
        <f t="shared" si="34"/>
        <v>9-OPERATORE SPEC.TO MANUTENZIONE-F2</v>
      </c>
      <c r="H197" s="76" t="str">
        <f t="shared" si="35"/>
        <v>F2-OPERATORE SPEC.TO MANUTENZIONE-2-9-F2</v>
      </c>
      <c r="I197" s="76">
        <f t="shared" si="28"/>
        <v>76</v>
      </c>
      <c r="J197" s="76">
        <f>COUNTIF($A$6:A197,"="&amp;A197)</f>
        <v>9</v>
      </c>
      <c r="K197" s="76" t="str">
        <f>EDR1!D227</f>
        <v>OPERATORE SPEC.TO MANUTENZIONE</v>
      </c>
      <c r="L197" s="76" t="str">
        <f>EDR1!C227</f>
        <v>F2</v>
      </c>
      <c r="M197" s="76" t="str">
        <f>EDR1!E227</f>
        <v>Manutenzione Infrastrutture</v>
      </c>
      <c r="N197" s="76"/>
      <c r="O197" s="76"/>
      <c r="P197" s="82">
        <f>VLOOKUP(L197&amp;$K$2&amp;K197&amp;$K$2&amp;M197,EDR1!$A$36:$Q$268,16,FALSE)</f>
        <v>25</v>
      </c>
      <c r="Q197" s="82">
        <f>VLOOKUP(L197&amp;$K$2&amp;K197&amp;$K$2&amp;M197,EDR1!$A$36:$Q$268,17,FALSE)</f>
        <v>65</v>
      </c>
      <c r="R197" s="77">
        <f t="shared" si="29"/>
        <v>192</v>
      </c>
      <c r="S197" s="80">
        <f t="shared" si="30"/>
      </c>
      <c r="T197" s="77">
        <f t="shared" si="31"/>
      </c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</row>
    <row r="198" spans="1:33" ht="12.75" hidden="1">
      <c r="A198" s="76" t="str">
        <f t="shared" si="32"/>
        <v>F2-OPERATORE SPEC.TO MANUTENZIONE</v>
      </c>
      <c r="B198" s="81" t="str">
        <f aca="true" t="shared" si="36" ref="B198:B237">J198&amp;$K$2&amp;L198</f>
        <v>10-F2</v>
      </c>
      <c r="C198" s="81">
        <f>COUNTIF($B$6:B198,"="&amp;B198)</f>
        <v>1</v>
      </c>
      <c r="D198" s="81" t="str">
        <f aca="true" t="shared" si="37" ref="D198:D237">C198&amp;$K$2&amp;J198&amp;$K$2&amp;L198</f>
        <v>1-10-F2</v>
      </c>
      <c r="E198" s="76" t="str">
        <f t="shared" si="33"/>
        <v>OPERATORE SPEC.TO MANUTENZIONE-Manutenzione Rotabili</v>
      </c>
      <c r="F198" s="76" t="str">
        <f aca="true" t="shared" si="38" ref="F198:F237">K198&amp;$K$2&amp;L198&amp;$K$2&amp;M198</f>
        <v>OPERATORE SPEC.TO MANUTENZIONE-F2-Manutenzione Rotabili</v>
      </c>
      <c r="G198" s="76" t="str">
        <f t="shared" si="34"/>
        <v>10-OPERATORE SPEC.TO MANUTENZIONE-F2</v>
      </c>
      <c r="H198" s="76" t="str">
        <f t="shared" si="35"/>
        <v>F2-OPERATORE SPEC.TO MANUTENZIONE-1-10-F2</v>
      </c>
      <c r="I198" s="76">
        <f aca="true" t="shared" si="39" ref="I198:I237">IF(K197&lt;&gt;K198,I197+1,I197)</f>
        <v>76</v>
      </c>
      <c r="J198" s="76">
        <f>COUNTIF($A$6:A198,"="&amp;A198)</f>
        <v>10</v>
      </c>
      <c r="K198" s="76" t="str">
        <f>EDR1!D228</f>
        <v>OPERATORE SPEC.TO MANUTENZIONE</v>
      </c>
      <c r="L198" s="76" t="str">
        <f>EDR1!C228</f>
        <v>F2</v>
      </c>
      <c r="M198" s="76" t="str">
        <f>EDR1!E228</f>
        <v>Manutenzione Rotabili</v>
      </c>
      <c r="N198" s="76"/>
      <c r="O198" s="76"/>
      <c r="P198" s="82">
        <f>VLOOKUP(L198&amp;$K$2&amp;K198&amp;$K$2&amp;M198,EDR1!$A$36:$Q$268,16,FALSE)</f>
        <v>25</v>
      </c>
      <c r="Q198" s="82">
        <f>VLOOKUP(L198&amp;$K$2&amp;K198&amp;$K$2&amp;M198,EDR1!$A$36:$Q$268,17,FALSE)</f>
        <v>65</v>
      </c>
      <c r="R198" s="77">
        <f aca="true" t="shared" si="40" ref="R198:R238">R197+1</f>
        <v>193</v>
      </c>
      <c r="S198" s="80">
        <f aca="true" t="shared" si="41" ref="S198:S237">IF(ISNA(VLOOKUP((R197+1)&amp;$K$2&amp;$S$5&amp;$K$2&amp;$E$3,$D$6:$K$237,8,FALSE)),"",VLOOKUP((R197+1)&amp;$K$2&amp;$S$5&amp;$K$2&amp;$E$3,$D$6:$K$237,8,FALSE))</f>
      </c>
      <c r="T198" s="77">
        <f aca="true" t="shared" si="42" ref="T198:T238">IF(S198&lt;&gt;"",VLOOKUP(S198,$K$6:$M$238,2,FALSE),"")</f>
      </c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</row>
    <row r="199" spans="1:33" ht="12.75" hidden="1">
      <c r="A199" s="76" t="str">
        <f aca="true" t="shared" si="43" ref="A199:A237">L199&amp;$K$2&amp;K199</f>
        <v>F2-OPERATORE SPEC.TO MANUTENZIONE</v>
      </c>
      <c r="B199" s="81" t="str">
        <f t="shared" si="36"/>
        <v>11-F2</v>
      </c>
      <c r="C199" s="81">
        <f>COUNTIF($B$6:B199,"="&amp;B199)</f>
        <v>1</v>
      </c>
      <c r="D199" s="81" t="str">
        <f t="shared" si="37"/>
        <v>1-11-F2</v>
      </c>
      <c r="E199" s="76" t="str">
        <f aca="true" t="shared" si="44" ref="E199:E238">K199&amp;$K$2&amp;M199</f>
        <v>OPERATORE SPEC.TO MANUTENZIONE-Officine Navi Traghetto</v>
      </c>
      <c r="F199" s="76" t="str">
        <f t="shared" si="38"/>
        <v>OPERATORE SPEC.TO MANUTENZIONE-F2-Officine Navi Traghetto</v>
      </c>
      <c r="G199" s="76" t="str">
        <f aca="true" t="shared" si="45" ref="G199:G237">J199&amp;$K$2&amp;K199&amp;$K$2&amp;L199</f>
        <v>11-OPERATORE SPEC.TO MANUTENZIONE-F2</v>
      </c>
      <c r="H199" s="76" t="str">
        <f aca="true" t="shared" si="46" ref="H199:H237">A199&amp;$K$2&amp;D199</f>
        <v>F2-OPERATORE SPEC.TO MANUTENZIONE-1-11-F2</v>
      </c>
      <c r="I199" s="76">
        <f t="shared" si="39"/>
        <v>76</v>
      </c>
      <c r="J199" s="76">
        <f>COUNTIF($A$6:A199,"="&amp;A199)</f>
        <v>11</v>
      </c>
      <c r="K199" s="76" t="str">
        <f>EDR1!D229</f>
        <v>OPERATORE SPEC.TO MANUTENZIONE</v>
      </c>
      <c r="L199" s="76" t="str">
        <f>EDR1!C229</f>
        <v>F2</v>
      </c>
      <c r="M199" s="76" t="str">
        <f>EDR1!E229</f>
        <v>Officine Navi Traghetto</v>
      </c>
      <c r="N199" s="76"/>
      <c r="O199" s="76"/>
      <c r="P199" s="82">
        <f>VLOOKUP(L199&amp;$K$2&amp;K199&amp;$K$2&amp;M199,EDR1!$A$36:$Q$268,16,FALSE)</f>
        <v>25</v>
      </c>
      <c r="Q199" s="82">
        <f>VLOOKUP(L199&amp;$K$2&amp;K199&amp;$K$2&amp;M199,EDR1!$A$36:$Q$268,17,FALSE)</f>
        <v>65</v>
      </c>
      <c r="R199" s="77">
        <f t="shared" si="40"/>
        <v>194</v>
      </c>
      <c r="S199" s="80">
        <f t="shared" si="41"/>
      </c>
      <c r="T199" s="77">
        <f t="shared" si="42"/>
      </c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</row>
    <row r="200" spans="1:33" ht="12.75" hidden="1">
      <c r="A200" s="76" t="str">
        <f t="shared" si="43"/>
        <v>F2-OPERATORE SPEC.TO MANUTENZIONE</v>
      </c>
      <c r="B200" s="81" t="str">
        <f t="shared" si="36"/>
        <v>12-F2</v>
      </c>
      <c r="C200" s="81">
        <f>COUNTIF($B$6:B200,"="&amp;B200)</f>
        <v>1</v>
      </c>
      <c r="D200" s="81" t="str">
        <f t="shared" si="37"/>
        <v>1-12-F2</v>
      </c>
      <c r="E200" s="76" t="str">
        <f t="shared" si="44"/>
        <v>OPERATORE SPEC.TO MANUTENZIONE-Officine Nazionali Infrastrutture</v>
      </c>
      <c r="F200" s="76" t="str">
        <f t="shared" si="38"/>
        <v>OPERATORE SPEC.TO MANUTENZIONE-F2-Officine Nazionali Infrastrutture</v>
      </c>
      <c r="G200" s="76" t="str">
        <f t="shared" si="45"/>
        <v>12-OPERATORE SPEC.TO MANUTENZIONE-F2</v>
      </c>
      <c r="H200" s="76" t="str">
        <f t="shared" si="46"/>
        <v>F2-OPERATORE SPEC.TO MANUTENZIONE-1-12-F2</v>
      </c>
      <c r="I200" s="76">
        <f t="shared" si="39"/>
        <v>76</v>
      </c>
      <c r="J200" s="76">
        <f>COUNTIF($A$6:A200,"="&amp;A200)</f>
        <v>12</v>
      </c>
      <c r="K200" s="76" t="str">
        <f>EDR1!D230</f>
        <v>OPERATORE SPEC.TO MANUTENZIONE</v>
      </c>
      <c r="L200" s="76" t="str">
        <f>EDR1!C230</f>
        <v>F2</v>
      </c>
      <c r="M200" s="76" t="str">
        <f>EDR1!E230</f>
        <v>Officine Nazionali Infrastrutture</v>
      </c>
      <c r="N200" s="76"/>
      <c r="O200" s="76"/>
      <c r="P200" s="82">
        <f>VLOOKUP(L200&amp;$K$2&amp;K200&amp;$K$2&amp;M200,EDR1!$A$36:$Q$268,16,FALSE)</f>
        <v>25</v>
      </c>
      <c r="Q200" s="82">
        <f>VLOOKUP(L200&amp;$K$2&amp;K200&amp;$K$2&amp;M200,EDR1!$A$36:$Q$268,17,FALSE)</f>
        <v>65</v>
      </c>
      <c r="R200" s="77">
        <f t="shared" si="40"/>
        <v>195</v>
      </c>
      <c r="S200" s="80">
        <f t="shared" si="41"/>
      </c>
      <c r="T200" s="77">
        <f t="shared" si="42"/>
      </c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</row>
    <row r="201" spans="1:33" ht="12.75" hidden="1">
      <c r="A201" s="76" t="str">
        <f t="shared" si="43"/>
        <v>F2-OPERATORE SPECIALIZZATO UFFICI</v>
      </c>
      <c r="B201" s="81" t="str">
        <f t="shared" si="36"/>
        <v>1-F2</v>
      </c>
      <c r="C201" s="81">
        <f>COUNTIF($B$6:B201,"="&amp;B201)</f>
        <v>10</v>
      </c>
      <c r="D201" s="81" t="str">
        <f t="shared" si="37"/>
        <v>10-1-F2</v>
      </c>
      <c r="E201" s="76" t="str">
        <f t="shared" si="44"/>
        <v>OPERATORE SPECIALIZZATO UFFICI-Operatore d’Ufficio (par. 135)</v>
      </c>
      <c r="F201" s="76" t="str">
        <f t="shared" si="38"/>
        <v>OPERATORE SPECIALIZZATO UFFICI-F2-Operatore d’Ufficio (par. 135)</v>
      </c>
      <c r="G201" s="76" t="str">
        <f t="shared" si="45"/>
        <v>1-OPERATORE SPECIALIZZATO UFFICI-F2</v>
      </c>
      <c r="H201" s="76" t="str">
        <f t="shared" si="46"/>
        <v>F2-OPERATORE SPECIALIZZATO UFFICI-10-1-F2</v>
      </c>
      <c r="I201" s="76">
        <f t="shared" si="39"/>
        <v>77</v>
      </c>
      <c r="J201" s="76">
        <f>COUNTIF($A$6:A201,"="&amp;A201)</f>
        <v>1</v>
      </c>
      <c r="K201" s="76" t="str">
        <f>EDR1!D231</f>
        <v>OPERATORE SPECIALIZZATO UFFICI</v>
      </c>
      <c r="L201" s="76" t="str">
        <f>EDR1!C231</f>
        <v>F2</v>
      </c>
      <c r="M201" s="76" t="str">
        <f>EDR1!E231</f>
        <v>Operatore d’Ufficio (par. 135)</v>
      </c>
      <c r="N201" s="76"/>
      <c r="O201" s="76"/>
      <c r="P201" s="82">
        <f>VLOOKUP(L201&amp;$K$2&amp;K201&amp;$K$2&amp;M201,EDR1!$A$36:$Q$268,16,FALSE)</f>
        <v>30</v>
      </c>
      <c r="Q201" s="82">
        <f>VLOOKUP(L201&amp;$K$2&amp;K201&amp;$K$2&amp;M201,EDR1!$A$36:$Q$268,17,FALSE)</f>
        <v>65</v>
      </c>
      <c r="R201" s="77">
        <f t="shared" si="40"/>
        <v>196</v>
      </c>
      <c r="S201" s="80">
        <f t="shared" si="41"/>
      </c>
      <c r="T201" s="77">
        <f t="shared" si="42"/>
      </c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</row>
    <row r="202" spans="1:33" ht="12.75" hidden="1">
      <c r="A202" s="76" t="str">
        <f t="shared" si="43"/>
        <v>F2-OPERATORE SPECIALIZZATO UFFICI</v>
      </c>
      <c r="B202" s="81" t="str">
        <f t="shared" si="36"/>
        <v>2-F2</v>
      </c>
      <c r="C202" s="81">
        <f>COUNTIF($B$6:B202,"="&amp;B202)</f>
        <v>9</v>
      </c>
      <c r="D202" s="81" t="str">
        <f t="shared" si="37"/>
        <v>9-2-F2</v>
      </c>
      <c r="E202" s="76" t="str">
        <f t="shared" si="44"/>
        <v>OPERATORE SPECIALIZZATO UFFICI-Operatore d’Ufficio (par. 142)</v>
      </c>
      <c r="F202" s="76" t="str">
        <f t="shared" si="38"/>
        <v>OPERATORE SPECIALIZZATO UFFICI-F2-Operatore d’Ufficio (par. 142)</v>
      </c>
      <c r="G202" s="76" t="str">
        <f t="shared" si="45"/>
        <v>2-OPERATORE SPECIALIZZATO UFFICI-F2</v>
      </c>
      <c r="H202" s="76" t="str">
        <f t="shared" si="46"/>
        <v>F2-OPERATORE SPECIALIZZATO UFFICI-9-2-F2</v>
      </c>
      <c r="I202" s="76">
        <f t="shared" si="39"/>
        <v>77</v>
      </c>
      <c r="J202" s="76">
        <f>COUNTIF($A$6:A202,"="&amp;A202)</f>
        <v>2</v>
      </c>
      <c r="K202" s="76" t="str">
        <f>EDR1!D232</f>
        <v>OPERATORE SPECIALIZZATO UFFICI</v>
      </c>
      <c r="L202" s="76" t="str">
        <f>EDR1!C232</f>
        <v>F2</v>
      </c>
      <c r="M202" s="76" t="str">
        <f>EDR1!E232</f>
        <v>Operatore d’Ufficio (par. 142)</v>
      </c>
      <c r="N202" s="76"/>
      <c r="O202" s="76"/>
      <c r="P202" s="82">
        <f>VLOOKUP(L202&amp;$K$2&amp;K202&amp;$K$2&amp;M202,EDR1!$A$36:$Q$268,16,FALSE)</f>
        <v>30</v>
      </c>
      <c r="Q202" s="82">
        <f>VLOOKUP(L202&amp;$K$2&amp;K202&amp;$K$2&amp;M202,EDR1!$A$36:$Q$268,17,FALSE)</f>
        <v>65</v>
      </c>
      <c r="R202" s="77">
        <f t="shared" si="40"/>
        <v>197</v>
      </c>
      <c r="S202" s="80">
        <f t="shared" si="41"/>
      </c>
      <c r="T202" s="77">
        <f t="shared" si="42"/>
      </c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</row>
    <row r="203" spans="1:33" ht="12.75" hidden="1">
      <c r="A203" s="76" t="str">
        <f t="shared" si="43"/>
        <v>F2-OPERATORE SPECIALIZZATO UFFICI</v>
      </c>
      <c r="B203" s="81" t="str">
        <f t="shared" si="36"/>
        <v>3-F2</v>
      </c>
      <c r="C203" s="81">
        <f>COUNTIF($B$6:B203,"="&amp;B203)</f>
        <v>5</v>
      </c>
      <c r="D203" s="81" t="str">
        <f t="shared" si="37"/>
        <v>5-3-F2</v>
      </c>
      <c r="E203" s="76" t="str">
        <f t="shared" si="44"/>
        <v>OPERATORE SPECIALIZZATO UFFICI-Ex profilo non previsto</v>
      </c>
      <c r="F203" s="76" t="str">
        <f t="shared" si="38"/>
        <v>OPERATORE SPECIALIZZATO UFFICI-F2-Ex profilo non previsto</v>
      </c>
      <c r="G203" s="76" t="str">
        <f t="shared" si="45"/>
        <v>3-OPERATORE SPECIALIZZATO UFFICI-F2</v>
      </c>
      <c r="H203" s="76" t="str">
        <f t="shared" si="46"/>
        <v>F2-OPERATORE SPECIALIZZATO UFFICI-5-3-F2</v>
      </c>
      <c r="I203" s="76">
        <f t="shared" si="39"/>
        <v>77</v>
      </c>
      <c r="J203" s="76">
        <f>COUNTIF($A$6:A203,"="&amp;A203)</f>
        <v>3</v>
      </c>
      <c r="K203" s="76" t="str">
        <f>EDR1!D233</f>
        <v>OPERATORE SPECIALIZZATO UFFICI</v>
      </c>
      <c r="L203" s="76" t="str">
        <f>EDR1!C233</f>
        <v>F2</v>
      </c>
      <c r="M203" s="76" t="str">
        <f>EDR1!E233</f>
        <v>Ex profilo non previsto</v>
      </c>
      <c r="N203" s="76"/>
      <c r="O203" s="76"/>
      <c r="P203" s="82">
        <f>VLOOKUP(L203&amp;$K$2&amp;K203&amp;$K$2&amp;M203,EDR1!$A$36:$Q$268,16,FALSE)</f>
        <v>30</v>
      </c>
      <c r="Q203" s="82">
        <f>VLOOKUP(L203&amp;$K$2&amp;K203&amp;$K$2&amp;M203,EDR1!$A$36:$Q$268,17,FALSE)</f>
        <v>65</v>
      </c>
      <c r="R203" s="77">
        <f t="shared" si="40"/>
        <v>198</v>
      </c>
      <c r="S203" s="80">
        <f t="shared" si="41"/>
      </c>
      <c r="T203" s="77">
        <f t="shared" si="42"/>
      </c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</row>
    <row r="204" spans="1:33" ht="12.75" hidden="1">
      <c r="A204" s="76" t="str">
        <f t="shared" si="43"/>
        <v>G1-AUSILIARIO</v>
      </c>
      <c r="B204" s="81" t="str">
        <f t="shared" si="36"/>
        <v>1-G1</v>
      </c>
      <c r="C204" s="81">
        <f>COUNTIF($B$6:B204,"="&amp;B204)</f>
        <v>1</v>
      </c>
      <c r="D204" s="81" t="str">
        <f t="shared" si="37"/>
        <v>1-1-G1</v>
      </c>
      <c r="E204" s="76" t="str">
        <f t="shared" si="44"/>
        <v>AUSILIARIO-Ausiliario (Tecnico) (par. 135)</v>
      </c>
      <c r="F204" s="76" t="str">
        <f t="shared" si="38"/>
        <v>AUSILIARIO-G1-Ausiliario (Tecnico) (par. 135)</v>
      </c>
      <c r="G204" s="76" t="str">
        <f t="shared" si="45"/>
        <v>1-AUSILIARIO-G1</v>
      </c>
      <c r="H204" s="76" t="str">
        <f t="shared" si="46"/>
        <v>G1-AUSILIARIO-1-1-G1</v>
      </c>
      <c r="I204" s="76">
        <f t="shared" si="39"/>
        <v>78</v>
      </c>
      <c r="J204" s="76">
        <f>COUNTIF($A$6:A204,"="&amp;A204)</f>
        <v>1</v>
      </c>
      <c r="K204" s="76" t="str">
        <f>EDR1!D234</f>
        <v>AUSILIARIO</v>
      </c>
      <c r="L204" s="76" t="str">
        <f>EDR1!C234</f>
        <v>G1</v>
      </c>
      <c r="M204" s="76" t="str">
        <f>EDR1!E234</f>
        <v>Ausiliario (Tecnico) (par. 135)</v>
      </c>
      <c r="N204" s="76"/>
      <c r="O204" s="76"/>
      <c r="P204" s="82">
        <f>VLOOKUP(L204&amp;$K$2&amp;K204&amp;$K$2&amp;M204,EDR1!$A$36:$Q$268,16,FALSE)</f>
        <v>25</v>
      </c>
      <c r="Q204" s="82">
        <f>VLOOKUP(L204&amp;$K$2&amp;K204&amp;$K$2&amp;M204,EDR1!$A$36:$Q$268,17,FALSE)</f>
        <v>65</v>
      </c>
      <c r="R204" s="77">
        <f t="shared" si="40"/>
        <v>199</v>
      </c>
      <c r="S204" s="80">
        <f t="shared" si="41"/>
      </c>
      <c r="T204" s="77">
        <f t="shared" si="42"/>
      </c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</row>
    <row r="205" spans="1:33" ht="12.75" hidden="1">
      <c r="A205" s="76" t="str">
        <f t="shared" si="43"/>
        <v>G1-AUSILIARIO</v>
      </c>
      <c r="B205" s="81" t="str">
        <f t="shared" si="36"/>
        <v>2-G1</v>
      </c>
      <c r="C205" s="81">
        <f>COUNTIF($B$6:B205,"="&amp;B205)</f>
        <v>1</v>
      </c>
      <c r="D205" s="81" t="str">
        <f t="shared" si="37"/>
        <v>1-2-G1</v>
      </c>
      <c r="E205" s="76" t="str">
        <f t="shared" si="44"/>
        <v>AUSILIARIO-Ausiliario di Stazione(par. 135)</v>
      </c>
      <c r="F205" s="76" t="str">
        <f t="shared" si="38"/>
        <v>AUSILIARIO-G1-Ausiliario di Stazione(par. 135)</v>
      </c>
      <c r="G205" s="76" t="str">
        <f t="shared" si="45"/>
        <v>2-AUSILIARIO-G1</v>
      </c>
      <c r="H205" s="76" t="str">
        <f t="shared" si="46"/>
        <v>G1-AUSILIARIO-1-2-G1</v>
      </c>
      <c r="I205" s="76">
        <f t="shared" si="39"/>
        <v>78</v>
      </c>
      <c r="J205" s="76">
        <f>COUNTIF($A$6:A205,"="&amp;A205)</f>
        <v>2</v>
      </c>
      <c r="K205" s="76" t="str">
        <f>EDR1!D235</f>
        <v>AUSILIARIO</v>
      </c>
      <c r="L205" s="76" t="str">
        <f>EDR1!C235</f>
        <v>G1</v>
      </c>
      <c r="M205" s="76" t="str">
        <f>EDR1!E235</f>
        <v>Ausiliario di Stazione(par. 135)</v>
      </c>
      <c r="N205" s="76"/>
      <c r="O205" s="76"/>
      <c r="P205" s="82">
        <f>VLOOKUP(L205&amp;$K$2&amp;K205&amp;$K$2&amp;M205,EDR1!$A$36:$Q$268,16,FALSE)</f>
        <v>25</v>
      </c>
      <c r="Q205" s="82">
        <f>VLOOKUP(L205&amp;$K$2&amp;K205&amp;$K$2&amp;M205,EDR1!$A$36:$Q$268,17,FALSE)</f>
        <v>65</v>
      </c>
      <c r="R205" s="77">
        <f t="shared" si="40"/>
        <v>200</v>
      </c>
      <c r="S205" s="80">
        <f t="shared" si="41"/>
      </c>
      <c r="T205" s="77">
        <f t="shared" si="42"/>
      </c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</row>
    <row r="206" spans="1:33" ht="12.75" hidden="1">
      <c r="A206" s="76" t="str">
        <f t="shared" si="43"/>
        <v>G1-AUSILIARIO</v>
      </c>
      <c r="B206" s="81" t="str">
        <f t="shared" si="36"/>
        <v>3-G1</v>
      </c>
      <c r="C206" s="81">
        <f>COUNTIF($B$6:B206,"="&amp;B206)</f>
        <v>1</v>
      </c>
      <c r="D206" s="81" t="str">
        <f t="shared" si="37"/>
        <v>1-3-G1</v>
      </c>
      <c r="E206" s="76" t="str">
        <f t="shared" si="44"/>
        <v>AUSILIARIO-Ausiliario Viaggiante (par. 135)</v>
      </c>
      <c r="F206" s="76" t="str">
        <f t="shared" si="38"/>
        <v>AUSILIARIO-G1-Ausiliario Viaggiante (par. 135)</v>
      </c>
      <c r="G206" s="76" t="str">
        <f t="shared" si="45"/>
        <v>3-AUSILIARIO-G1</v>
      </c>
      <c r="H206" s="76" t="str">
        <f t="shared" si="46"/>
        <v>G1-AUSILIARIO-1-3-G1</v>
      </c>
      <c r="I206" s="76">
        <f t="shared" si="39"/>
        <v>78</v>
      </c>
      <c r="J206" s="76">
        <f>COUNTIF($A$6:A206,"="&amp;A206)</f>
        <v>3</v>
      </c>
      <c r="K206" s="76" t="str">
        <f>EDR1!D236</f>
        <v>AUSILIARIO</v>
      </c>
      <c r="L206" s="76" t="str">
        <f>EDR1!C236</f>
        <v>G1</v>
      </c>
      <c r="M206" s="76" t="str">
        <f>EDR1!E236</f>
        <v>Ausiliario Viaggiante (par. 135)</v>
      </c>
      <c r="N206" s="76"/>
      <c r="O206" s="76"/>
      <c r="P206" s="82">
        <f>VLOOKUP(L206&amp;$K$2&amp;K206&amp;$K$2&amp;M206,EDR1!$A$36:$Q$268,16,FALSE)</f>
        <v>25</v>
      </c>
      <c r="Q206" s="82">
        <f>VLOOKUP(L206&amp;$K$2&amp;K206&amp;$K$2&amp;M206,EDR1!$A$36:$Q$268,17,FALSE)</f>
        <v>58</v>
      </c>
      <c r="R206" s="77">
        <f t="shared" si="40"/>
        <v>201</v>
      </c>
      <c r="S206" s="80">
        <f t="shared" si="41"/>
      </c>
      <c r="T206" s="77">
        <f t="shared" si="42"/>
      </c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</row>
    <row r="207" spans="1:33" ht="12.75" hidden="1">
      <c r="A207" s="76" t="str">
        <f t="shared" si="43"/>
        <v>G1-AUSILIARIO</v>
      </c>
      <c r="B207" s="81" t="str">
        <f t="shared" si="36"/>
        <v>4-G1</v>
      </c>
      <c r="C207" s="81">
        <f>COUNTIF($B$6:B207,"="&amp;B207)</f>
        <v>1</v>
      </c>
      <c r="D207" s="81" t="str">
        <f t="shared" si="37"/>
        <v>1-4-G1</v>
      </c>
      <c r="E207" s="76" t="str">
        <f t="shared" si="44"/>
        <v>AUSILIARIO-Aiuto Macchinista t.m. R.e.</v>
      </c>
      <c r="F207" s="76" t="str">
        <f t="shared" si="38"/>
        <v>AUSILIARIO-G1-Aiuto Macchinista t.m. R.e.</v>
      </c>
      <c r="G207" s="76" t="str">
        <f t="shared" si="45"/>
        <v>4-AUSILIARIO-G1</v>
      </c>
      <c r="H207" s="76" t="str">
        <f t="shared" si="46"/>
        <v>G1-AUSILIARIO-1-4-G1</v>
      </c>
      <c r="I207" s="76">
        <f t="shared" si="39"/>
        <v>78</v>
      </c>
      <c r="J207" s="76">
        <f>COUNTIF($A$6:A207,"="&amp;A207)</f>
        <v>4</v>
      </c>
      <c r="K207" s="76" t="str">
        <f>EDR1!D237</f>
        <v>AUSILIARIO</v>
      </c>
      <c r="L207" s="76" t="str">
        <f>EDR1!C237</f>
        <v>G1</v>
      </c>
      <c r="M207" s="76" t="str">
        <f>EDR1!E237</f>
        <v>Aiuto Macchinista t.m. R.e.</v>
      </c>
      <c r="N207" s="76"/>
      <c r="O207" s="76"/>
      <c r="P207" s="82">
        <f>VLOOKUP(L207&amp;$K$2&amp;K207&amp;$K$2&amp;M207,EDR1!$A$36:$Q$268,16,FALSE)</f>
        <v>25</v>
      </c>
      <c r="Q207" s="82">
        <f>VLOOKUP(L207&amp;$K$2&amp;K207&amp;$K$2&amp;M207,EDR1!$A$36:$Q$268,17,FALSE)</f>
        <v>58</v>
      </c>
      <c r="R207" s="77">
        <f t="shared" si="40"/>
        <v>202</v>
      </c>
      <c r="S207" s="80">
        <f t="shared" si="41"/>
      </c>
      <c r="T207" s="77">
        <f t="shared" si="42"/>
      </c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</row>
    <row r="208" spans="1:33" ht="12.75" hidden="1">
      <c r="A208" s="76" t="str">
        <f t="shared" si="43"/>
        <v>G1-AUSILIARIO</v>
      </c>
      <c r="B208" s="81" t="str">
        <f t="shared" si="36"/>
        <v>5-G1</v>
      </c>
      <c r="C208" s="81">
        <f>COUNTIF($B$6:B208,"="&amp;B208)</f>
        <v>1</v>
      </c>
      <c r="D208" s="81" t="str">
        <f t="shared" si="37"/>
        <v>1-5-G1</v>
      </c>
      <c r="E208" s="76" t="str">
        <f t="shared" si="44"/>
        <v>AUSILIARIO-Ausiliario (Uffici) (par. 135)</v>
      </c>
      <c r="F208" s="76" t="str">
        <f t="shared" si="38"/>
        <v>AUSILIARIO-G1-Ausiliario (Uffici) (par. 135)</v>
      </c>
      <c r="G208" s="76" t="str">
        <f t="shared" si="45"/>
        <v>5-AUSILIARIO-G1</v>
      </c>
      <c r="H208" s="76" t="str">
        <f t="shared" si="46"/>
        <v>G1-AUSILIARIO-1-5-G1</v>
      </c>
      <c r="I208" s="76">
        <f t="shared" si="39"/>
        <v>78</v>
      </c>
      <c r="J208" s="76">
        <f>COUNTIF($A$6:A208,"="&amp;A208)</f>
        <v>5</v>
      </c>
      <c r="K208" s="76" t="str">
        <f>EDR1!D238</f>
        <v>AUSILIARIO</v>
      </c>
      <c r="L208" s="76" t="str">
        <f>EDR1!C238</f>
        <v>G1</v>
      </c>
      <c r="M208" s="76" t="str">
        <f>EDR1!E238</f>
        <v>Ausiliario (Uffici) (par. 135)</v>
      </c>
      <c r="N208" s="76"/>
      <c r="O208" s="76"/>
      <c r="P208" s="82">
        <f>VLOOKUP(L208&amp;$K$2&amp;K208&amp;$K$2&amp;M208,EDR1!$A$36:$Q$268,16,FALSE)</f>
        <v>30</v>
      </c>
      <c r="Q208" s="82">
        <f>VLOOKUP(L208&amp;$K$2&amp;K208&amp;$K$2&amp;M208,EDR1!$A$36:$Q$268,17,FALSE)</f>
        <v>65</v>
      </c>
      <c r="R208" s="77">
        <f t="shared" si="40"/>
        <v>203</v>
      </c>
      <c r="S208" s="80">
        <f t="shared" si="41"/>
      </c>
      <c r="T208" s="77">
        <f t="shared" si="42"/>
      </c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</row>
    <row r="209" spans="1:33" ht="12.75" hidden="1">
      <c r="A209" s="76" t="str">
        <f t="shared" si="43"/>
        <v>G1-AUSILIARIO</v>
      </c>
      <c r="B209" s="81" t="str">
        <f t="shared" si="36"/>
        <v>6-G1</v>
      </c>
      <c r="C209" s="81">
        <f>COUNTIF($B$6:B209,"="&amp;B209)</f>
        <v>1</v>
      </c>
      <c r="D209" s="81" t="str">
        <f t="shared" si="37"/>
        <v>1-6-G1</v>
      </c>
      <c r="E209" s="76" t="str">
        <f t="shared" si="44"/>
        <v>AUSILIARIO-Manutenzione Infrastrutture</v>
      </c>
      <c r="F209" s="76" t="str">
        <f t="shared" si="38"/>
        <v>AUSILIARIO-G1-Manutenzione Infrastrutture</v>
      </c>
      <c r="G209" s="76" t="str">
        <f t="shared" si="45"/>
        <v>6-AUSILIARIO-G1</v>
      </c>
      <c r="H209" s="76" t="str">
        <f t="shared" si="46"/>
        <v>G1-AUSILIARIO-1-6-G1</v>
      </c>
      <c r="I209" s="76">
        <f t="shared" si="39"/>
        <v>78</v>
      </c>
      <c r="J209" s="76">
        <f>COUNTIF($A$6:A209,"="&amp;A209)</f>
        <v>6</v>
      </c>
      <c r="K209" s="76" t="str">
        <f>EDR1!D239</f>
        <v>AUSILIARIO</v>
      </c>
      <c r="L209" s="76" t="str">
        <f>EDR1!C239</f>
        <v>G1</v>
      </c>
      <c r="M209" s="76" t="str">
        <f>EDR1!E239</f>
        <v>Manutenzione Infrastrutture</v>
      </c>
      <c r="N209" s="76"/>
      <c r="O209" s="76"/>
      <c r="P209" s="82">
        <f>VLOOKUP(L209&amp;$K$2&amp;K209&amp;$K$2&amp;M209,EDR1!$A$36:$Q$268,16,FALSE)</f>
        <v>25</v>
      </c>
      <c r="Q209" s="82">
        <f>VLOOKUP(L209&amp;$K$2&amp;K209&amp;$K$2&amp;M209,EDR1!$A$36:$Q$268,17,FALSE)</f>
        <v>65</v>
      </c>
      <c r="R209" s="77">
        <f t="shared" si="40"/>
        <v>204</v>
      </c>
      <c r="S209" s="80">
        <f t="shared" si="41"/>
      </c>
      <c r="T209" s="77">
        <f t="shared" si="42"/>
      </c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</row>
    <row r="210" spans="1:33" ht="12.75" hidden="1">
      <c r="A210" s="76" t="str">
        <f t="shared" si="43"/>
        <v>G1-AUSILIARIO</v>
      </c>
      <c r="B210" s="81" t="str">
        <f t="shared" si="36"/>
        <v>7-G1</v>
      </c>
      <c r="C210" s="81">
        <f>COUNTIF($B$6:B210,"="&amp;B210)</f>
        <v>1</v>
      </c>
      <c r="D210" s="81" t="str">
        <f t="shared" si="37"/>
        <v>1-7-G1</v>
      </c>
      <c r="E210" s="76" t="str">
        <f t="shared" si="44"/>
        <v>AUSILIARIO-Manutenzione Rotabili</v>
      </c>
      <c r="F210" s="76" t="str">
        <f t="shared" si="38"/>
        <v>AUSILIARIO-G1-Manutenzione Rotabili</v>
      </c>
      <c r="G210" s="76" t="str">
        <f t="shared" si="45"/>
        <v>7-AUSILIARIO-G1</v>
      </c>
      <c r="H210" s="76" t="str">
        <f t="shared" si="46"/>
        <v>G1-AUSILIARIO-1-7-G1</v>
      </c>
      <c r="I210" s="76">
        <f t="shared" si="39"/>
        <v>78</v>
      </c>
      <c r="J210" s="76">
        <f>COUNTIF($A$6:A210,"="&amp;A210)</f>
        <v>7</v>
      </c>
      <c r="K210" s="76" t="str">
        <f>EDR1!D240</f>
        <v>AUSILIARIO</v>
      </c>
      <c r="L210" s="76" t="str">
        <f>EDR1!C240</f>
        <v>G1</v>
      </c>
      <c r="M210" s="76" t="str">
        <f>EDR1!E240</f>
        <v>Manutenzione Rotabili</v>
      </c>
      <c r="N210" s="76"/>
      <c r="O210" s="76"/>
      <c r="P210" s="82">
        <f>VLOOKUP(L210&amp;$K$2&amp;K210&amp;$K$2&amp;M210,EDR1!$A$36:$Q$268,16,FALSE)</f>
        <v>25</v>
      </c>
      <c r="Q210" s="82">
        <f>VLOOKUP(L210&amp;$K$2&amp;K210&amp;$K$2&amp;M210,EDR1!$A$36:$Q$268,17,FALSE)</f>
        <v>65</v>
      </c>
      <c r="R210" s="77">
        <f t="shared" si="40"/>
        <v>205</v>
      </c>
      <c r="S210" s="80">
        <f t="shared" si="41"/>
      </c>
      <c r="T210" s="77">
        <f t="shared" si="42"/>
      </c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</row>
    <row r="211" spans="1:33" ht="12.75" hidden="1">
      <c r="A211" s="76" t="str">
        <f t="shared" si="43"/>
        <v>G1-AUSILIARIO</v>
      </c>
      <c r="B211" s="81" t="str">
        <f t="shared" si="36"/>
        <v>8-G1</v>
      </c>
      <c r="C211" s="81">
        <f>COUNTIF($B$6:B211,"="&amp;B211)</f>
        <v>1</v>
      </c>
      <c r="D211" s="81" t="str">
        <f t="shared" si="37"/>
        <v>1-8-G1</v>
      </c>
      <c r="E211" s="76" t="str">
        <f t="shared" si="44"/>
        <v>AUSILIARIO-Officine Navi Traghetto</v>
      </c>
      <c r="F211" s="76" t="str">
        <f t="shared" si="38"/>
        <v>AUSILIARIO-G1-Officine Navi Traghetto</v>
      </c>
      <c r="G211" s="76" t="str">
        <f t="shared" si="45"/>
        <v>8-AUSILIARIO-G1</v>
      </c>
      <c r="H211" s="76" t="str">
        <f t="shared" si="46"/>
        <v>G1-AUSILIARIO-1-8-G1</v>
      </c>
      <c r="I211" s="76">
        <f t="shared" si="39"/>
        <v>78</v>
      </c>
      <c r="J211" s="76">
        <f>COUNTIF($A$6:A211,"="&amp;A211)</f>
        <v>8</v>
      </c>
      <c r="K211" s="76" t="str">
        <f>EDR1!D241</f>
        <v>AUSILIARIO</v>
      </c>
      <c r="L211" s="76" t="str">
        <f>EDR1!C241</f>
        <v>G1</v>
      </c>
      <c r="M211" s="76" t="str">
        <f>EDR1!E241</f>
        <v>Officine Navi Traghetto</v>
      </c>
      <c r="N211" s="76"/>
      <c r="O211" s="76"/>
      <c r="P211" s="82">
        <f>VLOOKUP(L211&amp;$K$2&amp;K211&amp;$K$2&amp;M211,EDR1!$A$36:$Q$268,16,FALSE)</f>
        <v>25</v>
      </c>
      <c r="Q211" s="82">
        <f>VLOOKUP(L211&amp;$K$2&amp;K211&amp;$K$2&amp;M211,EDR1!$A$36:$Q$268,17,FALSE)</f>
        <v>58</v>
      </c>
      <c r="R211" s="77">
        <f t="shared" si="40"/>
        <v>206</v>
      </c>
      <c r="S211" s="80">
        <f t="shared" si="41"/>
      </c>
      <c r="T211" s="77">
        <f t="shared" si="42"/>
      </c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</row>
    <row r="212" spans="1:33" ht="12.75" hidden="1">
      <c r="A212" s="76" t="str">
        <f t="shared" si="43"/>
        <v>G1-AUSILIARIO</v>
      </c>
      <c r="B212" s="81" t="str">
        <f t="shared" si="36"/>
        <v>9-G1</v>
      </c>
      <c r="C212" s="81">
        <f>COUNTIF($B$6:B212,"="&amp;B212)</f>
        <v>1</v>
      </c>
      <c r="D212" s="81" t="str">
        <f t="shared" si="37"/>
        <v>1-9-G1</v>
      </c>
      <c r="E212" s="76" t="str">
        <f t="shared" si="44"/>
        <v>AUSILIARIO-Officine Nazionali Infrastrutture</v>
      </c>
      <c r="F212" s="76" t="str">
        <f t="shared" si="38"/>
        <v>AUSILIARIO-G1-Officine Nazionali Infrastrutture</v>
      </c>
      <c r="G212" s="76" t="str">
        <f t="shared" si="45"/>
        <v>9-AUSILIARIO-G1</v>
      </c>
      <c r="H212" s="76" t="str">
        <f t="shared" si="46"/>
        <v>G1-AUSILIARIO-1-9-G1</v>
      </c>
      <c r="I212" s="76">
        <f t="shared" si="39"/>
        <v>78</v>
      </c>
      <c r="J212" s="76">
        <f>COUNTIF($A$6:A212,"="&amp;A212)</f>
        <v>9</v>
      </c>
      <c r="K212" s="76" t="str">
        <f>EDR1!D242</f>
        <v>AUSILIARIO</v>
      </c>
      <c r="L212" s="76" t="str">
        <f>EDR1!C242</f>
        <v>G1</v>
      </c>
      <c r="M212" s="76" t="str">
        <f>EDR1!E242</f>
        <v>Officine Nazionali Infrastrutture</v>
      </c>
      <c r="N212" s="76"/>
      <c r="O212" s="76"/>
      <c r="P212" s="82">
        <f>VLOOKUP(L212&amp;$K$2&amp;K212&amp;$K$2&amp;M212,EDR1!$A$36:$Q$268,16,FALSE)</f>
        <v>25</v>
      </c>
      <c r="Q212" s="82">
        <f>VLOOKUP(L212&amp;$K$2&amp;K212&amp;$K$2&amp;M212,EDR1!$A$36:$Q$268,17,FALSE)</f>
        <v>58</v>
      </c>
      <c r="R212" s="77">
        <f t="shared" si="40"/>
        <v>207</v>
      </c>
      <c r="S212" s="80">
        <f t="shared" si="41"/>
      </c>
      <c r="T212" s="77">
        <f t="shared" si="42"/>
      </c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</row>
    <row r="213" spans="1:33" ht="12.75" hidden="1">
      <c r="A213" s="76" t="str">
        <f t="shared" si="43"/>
        <v>G1-AUSILIARIO</v>
      </c>
      <c r="B213" s="81" t="str">
        <f t="shared" si="36"/>
        <v>10-G1</v>
      </c>
      <c r="C213" s="81">
        <f>COUNTIF($B$6:B213,"="&amp;B213)</f>
        <v>1</v>
      </c>
      <c r="D213" s="81" t="str">
        <f t="shared" si="37"/>
        <v>1-10-G1</v>
      </c>
      <c r="E213" s="76" t="str">
        <f t="shared" si="44"/>
        <v>AUSILIARIO-Ex profilo non previsto</v>
      </c>
      <c r="F213" s="76" t="str">
        <f t="shared" si="38"/>
        <v>AUSILIARIO-G1-Ex profilo non previsto</v>
      </c>
      <c r="G213" s="76" t="str">
        <f t="shared" si="45"/>
        <v>10-AUSILIARIO-G1</v>
      </c>
      <c r="H213" s="76" t="str">
        <f t="shared" si="46"/>
        <v>G1-AUSILIARIO-1-10-G1</v>
      </c>
      <c r="I213" s="76">
        <f t="shared" si="39"/>
        <v>78</v>
      </c>
      <c r="J213" s="76">
        <f>COUNTIF($A$6:A213,"="&amp;A213)</f>
        <v>10</v>
      </c>
      <c r="K213" s="76" t="str">
        <f>EDR1!D243</f>
        <v>AUSILIARIO</v>
      </c>
      <c r="L213" s="76" t="str">
        <f>EDR1!C243</f>
        <v>G1</v>
      </c>
      <c r="M213" s="76" t="str">
        <f>EDR1!E243</f>
        <v>Ex profilo non previsto</v>
      </c>
      <c r="N213" s="76"/>
      <c r="O213" s="76"/>
      <c r="P213" s="82">
        <f>VLOOKUP(L213&amp;$K$2&amp;K213&amp;$K$2&amp;M213,EDR1!$A$36:$Q$268,16,FALSE)</f>
        <v>30</v>
      </c>
      <c r="Q213" s="82">
        <f>VLOOKUP(L213&amp;$K$2&amp;K213&amp;$K$2&amp;M213,EDR1!$A$36:$Q$268,17,FALSE)</f>
        <v>65</v>
      </c>
      <c r="R213" s="77">
        <f t="shared" si="40"/>
        <v>208</v>
      </c>
      <c r="S213" s="80">
        <f t="shared" si="41"/>
      </c>
      <c r="T213" s="77">
        <f t="shared" si="42"/>
      </c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</row>
    <row r="214" spans="1:33" ht="12.75" hidden="1">
      <c r="A214" s="76" t="str">
        <f t="shared" si="43"/>
        <v>G1-CAMERIERE</v>
      </c>
      <c r="B214" s="81" t="str">
        <f t="shared" si="36"/>
        <v>1-G1</v>
      </c>
      <c r="C214" s="81">
        <f>COUNTIF($B$6:B214,"="&amp;B214)</f>
        <v>2</v>
      </c>
      <c r="D214" s="81" t="str">
        <f t="shared" si="37"/>
        <v>2-1-G1</v>
      </c>
      <c r="E214" s="76" t="str">
        <f t="shared" si="44"/>
        <v>CAMERIERE-Cameriere</v>
      </c>
      <c r="F214" s="76" t="str">
        <f t="shared" si="38"/>
        <v>CAMERIERE-G1-Cameriere</v>
      </c>
      <c r="G214" s="76" t="str">
        <f t="shared" si="45"/>
        <v>1-CAMERIERE-G1</v>
      </c>
      <c r="H214" s="76" t="str">
        <f t="shared" si="46"/>
        <v>G1-CAMERIERE-2-1-G1</v>
      </c>
      <c r="I214" s="76">
        <f t="shared" si="39"/>
        <v>79</v>
      </c>
      <c r="J214" s="76">
        <f>COUNTIF($A$6:A214,"="&amp;A214)</f>
        <v>1</v>
      </c>
      <c r="K214" s="76" t="str">
        <f>EDR1!D244</f>
        <v>CAMERIERE</v>
      </c>
      <c r="L214" s="76" t="str">
        <f>EDR1!C244</f>
        <v>G1</v>
      </c>
      <c r="M214" s="76" t="str">
        <f>EDR1!E244</f>
        <v>Cameriere</v>
      </c>
      <c r="N214" s="76"/>
      <c r="O214" s="76"/>
      <c r="P214" s="82">
        <f>VLOOKUP(L214&amp;$K$2&amp;K214&amp;$K$2&amp;M214,EDR1!$A$36:$Q$268,16,FALSE)</f>
        <v>25</v>
      </c>
      <c r="Q214" s="82">
        <f>VLOOKUP(L214&amp;$K$2&amp;K214&amp;$K$2&amp;M214,EDR1!$A$36:$Q$268,17,FALSE)</f>
        <v>58</v>
      </c>
      <c r="R214" s="77">
        <f t="shared" si="40"/>
        <v>209</v>
      </c>
      <c r="S214" s="80">
        <f t="shared" si="41"/>
      </c>
      <c r="T214" s="77">
        <f t="shared" si="42"/>
      </c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</row>
    <row r="215" spans="1:33" ht="12.75" hidden="1">
      <c r="A215" s="76" t="str">
        <f t="shared" si="43"/>
        <v>G1-CARBONAIO</v>
      </c>
      <c r="B215" s="81" t="str">
        <f t="shared" si="36"/>
        <v>1-G1</v>
      </c>
      <c r="C215" s="81">
        <f>COUNTIF($B$6:B215,"="&amp;B215)</f>
        <v>3</v>
      </c>
      <c r="D215" s="81" t="str">
        <f t="shared" si="37"/>
        <v>3-1-G1</v>
      </c>
      <c r="E215" s="76" t="str">
        <f t="shared" si="44"/>
        <v>CARBONAIO-Carbonaio (par. 135)</v>
      </c>
      <c r="F215" s="76" t="str">
        <f t="shared" si="38"/>
        <v>CARBONAIO-G1-Carbonaio (par. 135)</v>
      </c>
      <c r="G215" s="76" t="str">
        <f t="shared" si="45"/>
        <v>1-CARBONAIO-G1</v>
      </c>
      <c r="H215" s="76" t="str">
        <f t="shared" si="46"/>
        <v>G1-CARBONAIO-3-1-G1</v>
      </c>
      <c r="I215" s="76">
        <f t="shared" si="39"/>
        <v>80</v>
      </c>
      <c r="J215" s="76">
        <f>COUNTIF($A$6:A215,"="&amp;A215)</f>
        <v>1</v>
      </c>
      <c r="K215" s="76" t="str">
        <f>EDR1!D245</f>
        <v>CARBONAIO</v>
      </c>
      <c r="L215" s="76" t="str">
        <f>EDR1!C245</f>
        <v>G1</v>
      </c>
      <c r="M215" s="76" t="str">
        <f>EDR1!E245</f>
        <v>Carbonaio (par. 135)</v>
      </c>
      <c r="N215" s="76"/>
      <c r="O215" s="76"/>
      <c r="P215" s="82">
        <f>VLOOKUP(L215&amp;$K$2&amp;K215&amp;$K$2&amp;M215,EDR1!$A$36:$Q$268,16,FALSE)</f>
        <v>25</v>
      </c>
      <c r="Q215" s="82">
        <f>VLOOKUP(L215&amp;$K$2&amp;K215&amp;$K$2&amp;M215,EDR1!$A$36:$Q$268,17,FALSE)</f>
        <v>58</v>
      </c>
      <c r="R215" s="77">
        <f t="shared" si="40"/>
        <v>210</v>
      </c>
      <c r="S215" s="80">
        <f t="shared" si="41"/>
      </c>
      <c r="T215" s="77">
        <f t="shared" si="42"/>
      </c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</row>
    <row r="216" spans="1:33" ht="12.75" hidden="1">
      <c r="A216" s="76" t="str">
        <f t="shared" si="43"/>
        <v>G2-AUSILIARIO</v>
      </c>
      <c r="B216" s="81" t="str">
        <f t="shared" si="36"/>
        <v>1-G2</v>
      </c>
      <c r="C216" s="81">
        <f>COUNTIF($B$6:B216,"="&amp;B216)</f>
        <v>1</v>
      </c>
      <c r="D216" s="81" t="str">
        <f t="shared" si="37"/>
        <v>1-1-G2</v>
      </c>
      <c r="E216" s="76" t="str">
        <f t="shared" si="44"/>
        <v>AUSILIARIO-Ausiliario Tecnico (par. 100)</v>
      </c>
      <c r="F216" s="76" t="str">
        <f t="shared" si="38"/>
        <v>AUSILIARIO-G2-Ausiliario Tecnico (par. 100)</v>
      </c>
      <c r="G216" s="76" t="str">
        <f t="shared" si="45"/>
        <v>1-AUSILIARIO-G2</v>
      </c>
      <c r="H216" s="76" t="str">
        <f t="shared" si="46"/>
        <v>G2-AUSILIARIO-1-1-G2</v>
      </c>
      <c r="I216" s="76">
        <f t="shared" si="39"/>
        <v>81</v>
      </c>
      <c r="J216" s="76">
        <f>COUNTIF($A$6:A216,"="&amp;A216)</f>
        <v>1</v>
      </c>
      <c r="K216" s="76" t="str">
        <f>EDR1!D246</f>
        <v>AUSILIARIO</v>
      </c>
      <c r="L216" s="76" t="str">
        <f>EDR1!C246</f>
        <v>G2</v>
      </c>
      <c r="M216" s="76" t="str">
        <f>EDR1!E246</f>
        <v>Ausiliario Tecnico (par. 100)</v>
      </c>
      <c r="N216" s="76"/>
      <c r="O216" s="76"/>
      <c r="P216" s="82">
        <f>VLOOKUP(L216&amp;$K$2&amp;K216&amp;$K$2&amp;M216,EDR1!$A$36:$Q$268,16,FALSE)</f>
        <v>25</v>
      </c>
      <c r="Q216" s="82">
        <f>VLOOKUP(L216&amp;$K$2&amp;K216&amp;$K$2&amp;M216,EDR1!$A$36:$Q$268,17,FALSE)</f>
        <v>65</v>
      </c>
      <c r="R216" s="77">
        <f t="shared" si="40"/>
        <v>211</v>
      </c>
      <c r="S216" s="80">
        <f t="shared" si="41"/>
      </c>
      <c r="T216" s="77">
        <f t="shared" si="42"/>
      </c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</row>
    <row r="217" spans="1:33" ht="12.75" hidden="1">
      <c r="A217" s="76" t="str">
        <f t="shared" si="43"/>
        <v>G2-AUSILIARIO</v>
      </c>
      <c r="B217" s="81" t="str">
        <f t="shared" si="36"/>
        <v>2-G2</v>
      </c>
      <c r="C217" s="81">
        <f>COUNTIF($B$6:B217,"="&amp;B217)</f>
        <v>1</v>
      </c>
      <c r="D217" s="81" t="str">
        <f t="shared" si="37"/>
        <v>1-2-G2</v>
      </c>
      <c r="E217" s="76" t="str">
        <f t="shared" si="44"/>
        <v>AUSILIARIO-Ausiliario Tecnico (par. 122)</v>
      </c>
      <c r="F217" s="76" t="str">
        <f t="shared" si="38"/>
        <v>AUSILIARIO-G2-Ausiliario Tecnico (par. 122)</v>
      </c>
      <c r="G217" s="76" t="str">
        <f t="shared" si="45"/>
        <v>2-AUSILIARIO-G2</v>
      </c>
      <c r="H217" s="76" t="str">
        <f t="shared" si="46"/>
        <v>G2-AUSILIARIO-1-2-G2</v>
      </c>
      <c r="I217" s="76">
        <f t="shared" si="39"/>
        <v>81</v>
      </c>
      <c r="J217" s="76">
        <f>COUNTIF($A$6:A217,"="&amp;A217)</f>
        <v>2</v>
      </c>
      <c r="K217" s="76" t="str">
        <f>EDR1!D247</f>
        <v>AUSILIARIO</v>
      </c>
      <c r="L217" s="76" t="str">
        <f>EDR1!C247</f>
        <v>G2</v>
      </c>
      <c r="M217" s="76" t="str">
        <f>EDR1!E247</f>
        <v>Ausiliario Tecnico (par. 122)</v>
      </c>
      <c r="N217" s="76"/>
      <c r="O217" s="76"/>
      <c r="P217" s="82">
        <f>VLOOKUP(L217&amp;$K$2&amp;K217&amp;$K$2&amp;M217,EDR1!$A$36:$Q$268,16,FALSE)</f>
        <v>25</v>
      </c>
      <c r="Q217" s="82">
        <f>VLOOKUP(L217&amp;$K$2&amp;K217&amp;$K$2&amp;M217,EDR1!$A$36:$Q$268,17,FALSE)</f>
        <v>65</v>
      </c>
      <c r="R217" s="77">
        <f t="shared" si="40"/>
        <v>212</v>
      </c>
      <c r="S217" s="80">
        <f t="shared" si="41"/>
      </c>
      <c r="T217" s="77">
        <f t="shared" si="42"/>
      </c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</row>
    <row r="218" spans="1:33" ht="12.75" hidden="1">
      <c r="A218" s="76" t="str">
        <f t="shared" si="43"/>
        <v>G2-AUSILIARIO</v>
      </c>
      <c r="B218" s="81" t="str">
        <f t="shared" si="36"/>
        <v>3-G2</v>
      </c>
      <c r="C218" s="81">
        <f>COUNTIF($B$6:B218,"="&amp;B218)</f>
        <v>1</v>
      </c>
      <c r="D218" s="81" t="str">
        <f t="shared" si="37"/>
        <v>1-3-G2</v>
      </c>
      <c r="E218" s="76" t="str">
        <f t="shared" si="44"/>
        <v>AUSILIARIO-Ausiliario di Stazione(par. 100)</v>
      </c>
      <c r="F218" s="76" t="str">
        <f t="shared" si="38"/>
        <v>AUSILIARIO-G2-Ausiliario di Stazione(par. 100)</v>
      </c>
      <c r="G218" s="76" t="str">
        <f t="shared" si="45"/>
        <v>3-AUSILIARIO-G2</v>
      </c>
      <c r="H218" s="76" t="str">
        <f t="shared" si="46"/>
        <v>G2-AUSILIARIO-1-3-G2</v>
      </c>
      <c r="I218" s="76">
        <f t="shared" si="39"/>
        <v>81</v>
      </c>
      <c r="J218" s="76">
        <f>COUNTIF($A$6:A218,"="&amp;A218)</f>
        <v>3</v>
      </c>
      <c r="K218" s="76" t="str">
        <f>EDR1!D248</f>
        <v>AUSILIARIO</v>
      </c>
      <c r="L218" s="76" t="str">
        <f>EDR1!C248</f>
        <v>G2</v>
      </c>
      <c r="M218" s="76" t="str">
        <f>EDR1!E248</f>
        <v>Ausiliario di Stazione(par. 100)</v>
      </c>
      <c r="N218" s="76"/>
      <c r="O218" s="76"/>
      <c r="P218" s="82">
        <f>VLOOKUP(L218&amp;$K$2&amp;K218&amp;$K$2&amp;M218,EDR1!$A$36:$Q$268,16,FALSE)</f>
        <v>25</v>
      </c>
      <c r="Q218" s="82">
        <f>VLOOKUP(L218&amp;$K$2&amp;K218&amp;$K$2&amp;M218,EDR1!$A$36:$Q$268,17,FALSE)</f>
        <v>65</v>
      </c>
      <c r="R218" s="77">
        <f t="shared" si="40"/>
        <v>213</v>
      </c>
      <c r="S218" s="80">
        <f t="shared" si="41"/>
      </c>
      <c r="T218" s="77">
        <f t="shared" si="42"/>
      </c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</row>
    <row r="219" spans="1:33" ht="12.75" hidden="1">
      <c r="A219" s="76" t="str">
        <f t="shared" si="43"/>
        <v>G2-AUSILIARIO</v>
      </c>
      <c r="B219" s="81" t="str">
        <f t="shared" si="36"/>
        <v>4-G2</v>
      </c>
      <c r="C219" s="81">
        <f>COUNTIF($B$6:B219,"="&amp;B219)</f>
        <v>1</v>
      </c>
      <c r="D219" s="81" t="str">
        <f t="shared" si="37"/>
        <v>1-4-G2</v>
      </c>
      <c r="E219" s="76" t="str">
        <f t="shared" si="44"/>
        <v>AUSILIARIO-Ausiliario di Stazione(par. 122)</v>
      </c>
      <c r="F219" s="76" t="str">
        <f t="shared" si="38"/>
        <v>AUSILIARIO-G2-Ausiliario di Stazione(par. 122)</v>
      </c>
      <c r="G219" s="76" t="str">
        <f t="shared" si="45"/>
        <v>4-AUSILIARIO-G2</v>
      </c>
      <c r="H219" s="76" t="str">
        <f t="shared" si="46"/>
        <v>G2-AUSILIARIO-1-4-G2</v>
      </c>
      <c r="I219" s="76">
        <f t="shared" si="39"/>
        <v>81</v>
      </c>
      <c r="J219" s="76">
        <f>COUNTIF($A$6:A219,"="&amp;A219)</f>
        <v>4</v>
      </c>
      <c r="K219" s="76" t="str">
        <f>EDR1!D249</f>
        <v>AUSILIARIO</v>
      </c>
      <c r="L219" s="76" t="str">
        <f>EDR1!C249</f>
        <v>G2</v>
      </c>
      <c r="M219" s="76" t="str">
        <f>EDR1!E249</f>
        <v>Ausiliario di Stazione(par. 122)</v>
      </c>
      <c r="N219" s="76"/>
      <c r="O219" s="76"/>
      <c r="P219" s="82">
        <f>VLOOKUP(L219&amp;$K$2&amp;K219&amp;$K$2&amp;M219,EDR1!$A$36:$Q$268,16,FALSE)</f>
        <v>25</v>
      </c>
      <c r="Q219" s="82">
        <f>VLOOKUP(L219&amp;$K$2&amp;K219&amp;$K$2&amp;M219,EDR1!$A$36:$Q$268,17,FALSE)</f>
        <v>65</v>
      </c>
      <c r="R219" s="77">
        <f t="shared" si="40"/>
        <v>214</v>
      </c>
      <c r="S219" s="80">
        <f t="shared" si="41"/>
      </c>
      <c r="T219" s="77">
        <f t="shared" si="42"/>
      </c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</row>
    <row r="220" spans="1:33" ht="12.75" hidden="1">
      <c r="A220" s="76" t="str">
        <f t="shared" si="43"/>
        <v>G2-AUSILIARIO</v>
      </c>
      <c r="B220" s="81" t="str">
        <f t="shared" si="36"/>
        <v>5-G2</v>
      </c>
      <c r="C220" s="81">
        <f>COUNTIF($B$6:B220,"="&amp;B220)</f>
        <v>1</v>
      </c>
      <c r="D220" s="81" t="str">
        <f t="shared" si="37"/>
        <v>1-5-G2</v>
      </c>
      <c r="E220" s="76" t="str">
        <f t="shared" si="44"/>
        <v>AUSILIARIO-Ausiliario Uffici (par. 100)</v>
      </c>
      <c r="F220" s="76" t="str">
        <f t="shared" si="38"/>
        <v>AUSILIARIO-G2-Ausiliario Uffici (par. 100)</v>
      </c>
      <c r="G220" s="76" t="str">
        <f t="shared" si="45"/>
        <v>5-AUSILIARIO-G2</v>
      </c>
      <c r="H220" s="76" t="str">
        <f t="shared" si="46"/>
        <v>G2-AUSILIARIO-1-5-G2</v>
      </c>
      <c r="I220" s="76">
        <f t="shared" si="39"/>
        <v>81</v>
      </c>
      <c r="J220" s="76">
        <f>COUNTIF($A$6:A220,"="&amp;A220)</f>
        <v>5</v>
      </c>
      <c r="K220" s="76" t="str">
        <f>EDR1!D250</f>
        <v>AUSILIARIO</v>
      </c>
      <c r="L220" s="76" t="str">
        <f>EDR1!C250</f>
        <v>G2</v>
      </c>
      <c r="M220" s="76" t="str">
        <f>EDR1!E250</f>
        <v>Ausiliario Uffici (par. 100)</v>
      </c>
      <c r="N220" s="76"/>
      <c r="O220" s="76"/>
      <c r="P220" s="82">
        <f>VLOOKUP(L220&amp;$K$2&amp;K220&amp;$K$2&amp;M220,EDR1!$A$36:$Q$268,16,FALSE)</f>
        <v>30</v>
      </c>
      <c r="Q220" s="82">
        <f>VLOOKUP(L220&amp;$K$2&amp;K220&amp;$K$2&amp;M220,EDR1!$A$36:$Q$268,17,FALSE)</f>
        <v>65</v>
      </c>
      <c r="R220" s="77">
        <f t="shared" si="40"/>
        <v>215</v>
      </c>
      <c r="S220" s="80">
        <f t="shared" si="41"/>
      </c>
      <c r="T220" s="77">
        <f t="shared" si="42"/>
      </c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</row>
    <row r="221" spans="1:33" ht="12.75" hidden="1">
      <c r="A221" s="76" t="str">
        <f t="shared" si="43"/>
        <v>G2-AUSILIARIO</v>
      </c>
      <c r="B221" s="81" t="str">
        <f t="shared" si="36"/>
        <v>6-G2</v>
      </c>
      <c r="C221" s="81">
        <f>COUNTIF($B$6:B221,"="&amp;B221)</f>
        <v>1</v>
      </c>
      <c r="D221" s="81" t="str">
        <f t="shared" si="37"/>
        <v>1-6-G2</v>
      </c>
      <c r="E221" s="76" t="str">
        <f t="shared" si="44"/>
        <v>AUSILIARIO-Ausiliario Uffici (par. 122)</v>
      </c>
      <c r="F221" s="76" t="str">
        <f t="shared" si="38"/>
        <v>AUSILIARIO-G2-Ausiliario Uffici (par. 122)</v>
      </c>
      <c r="G221" s="76" t="str">
        <f t="shared" si="45"/>
        <v>6-AUSILIARIO-G2</v>
      </c>
      <c r="H221" s="76" t="str">
        <f t="shared" si="46"/>
        <v>G2-AUSILIARIO-1-6-G2</v>
      </c>
      <c r="I221" s="76">
        <f t="shared" si="39"/>
        <v>81</v>
      </c>
      <c r="J221" s="76">
        <f>COUNTIF($A$6:A221,"="&amp;A221)</f>
        <v>6</v>
      </c>
      <c r="K221" s="76" t="str">
        <f>EDR1!D251</f>
        <v>AUSILIARIO</v>
      </c>
      <c r="L221" s="76" t="str">
        <f>EDR1!C251</f>
        <v>G2</v>
      </c>
      <c r="M221" s="76" t="str">
        <f>EDR1!E251</f>
        <v>Ausiliario Uffici (par. 122)</v>
      </c>
      <c r="N221" s="76"/>
      <c r="O221" s="76"/>
      <c r="P221" s="82">
        <f>VLOOKUP(L221&amp;$K$2&amp;K221&amp;$K$2&amp;M221,EDR1!$A$36:$Q$268,16,FALSE)</f>
        <v>30</v>
      </c>
      <c r="Q221" s="82">
        <f>VLOOKUP(L221&amp;$K$2&amp;K221&amp;$K$2&amp;M221,EDR1!$A$36:$Q$268,17,FALSE)</f>
        <v>65</v>
      </c>
      <c r="R221" s="77">
        <f t="shared" si="40"/>
        <v>216</v>
      </c>
      <c r="S221" s="80">
        <f t="shared" si="41"/>
      </c>
      <c r="T221" s="77">
        <f t="shared" si="42"/>
      </c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</row>
    <row r="222" spans="1:33" ht="12.75" hidden="1">
      <c r="A222" s="76" t="str">
        <f t="shared" si="43"/>
        <v>G2-AUSILIARIO</v>
      </c>
      <c r="B222" s="81" t="str">
        <f t="shared" si="36"/>
        <v>7-G2</v>
      </c>
      <c r="C222" s="81">
        <f>COUNTIF($B$6:B222,"="&amp;B222)</f>
        <v>1</v>
      </c>
      <c r="D222" s="81" t="str">
        <f t="shared" si="37"/>
        <v>1-7-G2</v>
      </c>
      <c r="E222" s="76" t="str">
        <f t="shared" si="44"/>
        <v>AUSILIARIO-Ausiliario Viaggiante (par. 100)</v>
      </c>
      <c r="F222" s="76" t="str">
        <f t="shared" si="38"/>
        <v>AUSILIARIO-G2-Ausiliario Viaggiante (par. 100)</v>
      </c>
      <c r="G222" s="76" t="str">
        <f t="shared" si="45"/>
        <v>7-AUSILIARIO-G2</v>
      </c>
      <c r="H222" s="76" t="str">
        <f t="shared" si="46"/>
        <v>G2-AUSILIARIO-1-7-G2</v>
      </c>
      <c r="I222" s="76">
        <f t="shared" si="39"/>
        <v>81</v>
      </c>
      <c r="J222" s="76">
        <f>COUNTIF($A$6:A222,"="&amp;A222)</f>
        <v>7</v>
      </c>
      <c r="K222" s="76" t="str">
        <f>EDR1!D252</f>
        <v>AUSILIARIO</v>
      </c>
      <c r="L222" s="76" t="str">
        <f>EDR1!C252</f>
        <v>G2</v>
      </c>
      <c r="M222" s="76" t="str">
        <f>EDR1!E252</f>
        <v>Ausiliario Viaggiante (par. 100)</v>
      </c>
      <c r="N222" s="76"/>
      <c r="O222" s="76"/>
      <c r="P222" s="82">
        <f>VLOOKUP(L222&amp;$K$2&amp;K222&amp;$K$2&amp;M222,EDR1!$A$36:$Q$268,16,FALSE)</f>
        <v>25</v>
      </c>
      <c r="Q222" s="82">
        <f>VLOOKUP(L222&amp;$K$2&amp;K222&amp;$K$2&amp;M222,EDR1!$A$36:$Q$268,17,FALSE)</f>
        <v>58</v>
      </c>
      <c r="R222" s="77">
        <f t="shared" si="40"/>
        <v>217</v>
      </c>
      <c r="S222" s="80">
        <f t="shared" si="41"/>
      </c>
      <c r="T222" s="77">
        <f t="shared" si="42"/>
      </c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</row>
    <row r="223" spans="1:33" ht="12.75" hidden="1">
      <c r="A223" s="76" t="str">
        <f t="shared" si="43"/>
        <v>G2-AUSILIARIO</v>
      </c>
      <c r="B223" s="81" t="str">
        <f t="shared" si="36"/>
        <v>8-G2</v>
      </c>
      <c r="C223" s="81">
        <f>COUNTIF($B$6:B223,"="&amp;B223)</f>
        <v>1</v>
      </c>
      <c r="D223" s="81" t="str">
        <f t="shared" si="37"/>
        <v>1-8-G2</v>
      </c>
      <c r="E223" s="76" t="str">
        <f t="shared" si="44"/>
        <v>AUSILIARIO-Ausiliario Viaggiante (par. 122)</v>
      </c>
      <c r="F223" s="76" t="str">
        <f t="shared" si="38"/>
        <v>AUSILIARIO-G2-Ausiliario Viaggiante (par. 122)</v>
      </c>
      <c r="G223" s="76" t="str">
        <f t="shared" si="45"/>
        <v>8-AUSILIARIO-G2</v>
      </c>
      <c r="H223" s="76" t="str">
        <f t="shared" si="46"/>
        <v>G2-AUSILIARIO-1-8-G2</v>
      </c>
      <c r="I223" s="76">
        <f t="shared" si="39"/>
        <v>81</v>
      </c>
      <c r="J223" s="76">
        <f>COUNTIF($A$6:A223,"="&amp;A223)</f>
        <v>8</v>
      </c>
      <c r="K223" s="76" t="str">
        <f>EDR1!D253</f>
        <v>AUSILIARIO</v>
      </c>
      <c r="L223" s="76" t="str">
        <f>EDR1!C253</f>
        <v>G2</v>
      </c>
      <c r="M223" s="76" t="str">
        <f>EDR1!E253</f>
        <v>Ausiliario Viaggiante (par. 122)</v>
      </c>
      <c r="N223" s="76"/>
      <c r="O223" s="76"/>
      <c r="P223" s="82">
        <f>VLOOKUP(L223&amp;$K$2&amp;K223&amp;$K$2&amp;M223,EDR1!$A$36:$Q$268,16,FALSE)</f>
        <v>25</v>
      </c>
      <c r="Q223" s="82">
        <f>VLOOKUP(L223&amp;$K$2&amp;K223&amp;$K$2&amp;M223,EDR1!$A$36:$Q$268,17,FALSE)</f>
        <v>58</v>
      </c>
      <c r="R223" s="77">
        <f t="shared" si="40"/>
        <v>218</v>
      </c>
      <c r="S223" s="80">
        <f t="shared" si="41"/>
      </c>
      <c r="T223" s="77">
        <f t="shared" si="42"/>
      </c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</row>
    <row r="224" spans="1:33" ht="12.75" hidden="1">
      <c r="A224" s="76" t="str">
        <f t="shared" si="43"/>
        <v>G2-AUSILIARIO</v>
      </c>
      <c r="B224" s="81" t="str">
        <f t="shared" si="36"/>
        <v>9-G2</v>
      </c>
      <c r="C224" s="81">
        <f>COUNTIF($B$6:B224,"="&amp;B224)</f>
        <v>1</v>
      </c>
      <c r="D224" s="81" t="str">
        <f t="shared" si="37"/>
        <v>1-9-G2</v>
      </c>
      <c r="E224" s="76" t="str">
        <f t="shared" si="44"/>
        <v>AUSILIARIO-Manutenzione Infrastrutture</v>
      </c>
      <c r="F224" s="76" t="str">
        <f t="shared" si="38"/>
        <v>AUSILIARIO-G2-Manutenzione Infrastrutture</v>
      </c>
      <c r="G224" s="76" t="str">
        <f t="shared" si="45"/>
        <v>9-AUSILIARIO-G2</v>
      </c>
      <c r="H224" s="76" t="str">
        <f t="shared" si="46"/>
        <v>G2-AUSILIARIO-1-9-G2</v>
      </c>
      <c r="I224" s="76">
        <f t="shared" si="39"/>
        <v>81</v>
      </c>
      <c r="J224" s="76">
        <f>COUNTIF($A$6:A224,"="&amp;A224)</f>
        <v>9</v>
      </c>
      <c r="K224" s="76" t="str">
        <f>EDR1!D254</f>
        <v>AUSILIARIO</v>
      </c>
      <c r="L224" s="76" t="str">
        <f>EDR1!C254</f>
        <v>G2</v>
      </c>
      <c r="M224" s="76" t="str">
        <f>EDR1!E254</f>
        <v>Manutenzione Infrastrutture</v>
      </c>
      <c r="N224" s="76"/>
      <c r="O224" s="76"/>
      <c r="P224" s="82">
        <f>VLOOKUP(L224&amp;$K$2&amp;K224&amp;$K$2&amp;M224,EDR1!$A$36:$Q$268,16,FALSE)</f>
        <v>25</v>
      </c>
      <c r="Q224" s="82">
        <f>VLOOKUP(L224&amp;$K$2&amp;K224&amp;$K$2&amp;M224,EDR1!$A$36:$Q$268,17,FALSE)</f>
        <v>65</v>
      </c>
      <c r="R224" s="77">
        <f t="shared" si="40"/>
        <v>219</v>
      </c>
      <c r="S224" s="80">
        <f t="shared" si="41"/>
      </c>
      <c r="T224" s="77">
        <f t="shared" si="42"/>
      </c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</row>
    <row r="225" spans="1:33" ht="12.75" hidden="1">
      <c r="A225" s="76" t="str">
        <f t="shared" si="43"/>
        <v>G2-AUSILIARIO</v>
      </c>
      <c r="B225" s="81" t="str">
        <f t="shared" si="36"/>
        <v>10-G2</v>
      </c>
      <c r="C225" s="81">
        <f>COUNTIF($B$6:B225,"="&amp;B225)</f>
        <v>1</v>
      </c>
      <c r="D225" s="81" t="str">
        <f t="shared" si="37"/>
        <v>1-10-G2</v>
      </c>
      <c r="E225" s="76" t="str">
        <f t="shared" si="44"/>
        <v>AUSILIARIO-Manutenzione Rotabili</v>
      </c>
      <c r="F225" s="76" t="str">
        <f t="shared" si="38"/>
        <v>AUSILIARIO-G2-Manutenzione Rotabili</v>
      </c>
      <c r="G225" s="76" t="str">
        <f t="shared" si="45"/>
        <v>10-AUSILIARIO-G2</v>
      </c>
      <c r="H225" s="76" t="str">
        <f t="shared" si="46"/>
        <v>G2-AUSILIARIO-1-10-G2</v>
      </c>
      <c r="I225" s="76">
        <f t="shared" si="39"/>
        <v>81</v>
      </c>
      <c r="J225" s="76">
        <f>COUNTIF($A$6:A225,"="&amp;A225)</f>
        <v>10</v>
      </c>
      <c r="K225" s="76" t="str">
        <f>EDR1!D255</f>
        <v>AUSILIARIO</v>
      </c>
      <c r="L225" s="76" t="str">
        <f>EDR1!C255</f>
        <v>G2</v>
      </c>
      <c r="M225" s="76" t="str">
        <f>EDR1!E255</f>
        <v>Manutenzione Rotabili</v>
      </c>
      <c r="N225" s="76"/>
      <c r="O225" s="76"/>
      <c r="P225" s="82">
        <f>VLOOKUP(L225&amp;$K$2&amp;K225&amp;$K$2&amp;M225,EDR1!$A$36:$Q$268,16,FALSE)</f>
        <v>25</v>
      </c>
      <c r="Q225" s="82">
        <f>VLOOKUP(L225&amp;$K$2&amp;K225&amp;$K$2&amp;M225,EDR1!$A$36:$Q$268,17,FALSE)</f>
        <v>65</v>
      </c>
      <c r="R225" s="77">
        <f t="shared" si="40"/>
        <v>220</v>
      </c>
      <c r="S225" s="80">
        <f t="shared" si="41"/>
      </c>
      <c r="T225" s="77">
        <f t="shared" si="42"/>
      </c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</row>
    <row r="226" spans="1:33" ht="12.75" hidden="1">
      <c r="A226" s="76" t="str">
        <f t="shared" si="43"/>
        <v>G2-AUSILIARIO</v>
      </c>
      <c r="B226" s="81" t="str">
        <f t="shared" si="36"/>
        <v>11-G2</v>
      </c>
      <c r="C226" s="81">
        <f>COUNTIF($B$6:B226,"="&amp;B226)</f>
        <v>1</v>
      </c>
      <c r="D226" s="81" t="str">
        <f t="shared" si="37"/>
        <v>1-11-G2</v>
      </c>
      <c r="E226" s="76" t="str">
        <f t="shared" si="44"/>
        <v>AUSILIARIO-Officine Navi Traghetto</v>
      </c>
      <c r="F226" s="76" t="str">
        <f t="shared" si="38"/>
        <v>AUSILIARIO-G2-Officine Navi Traghetto</v>
      </c>
      <c r="G226" s="76" t="str">
        <f t="shared" si="45"/>
        <v>11-AUSILIARIO-G2</v>
      </c>
      <c r="H226" s="76" t="str">
        <f t="shared" si="46"/>
        <v>G2-AUSILIARIO-1-11-G2</v>
      </c>
      <c r="I226" s="76">
        <f t="shared" si="39"/>
        <v>81</v>
      </c>
      <c r="J226" s="76">
        <f>COUNTIF($A$6:A226,"="&amp;A226)</f>
        <v>11</v>
      </c>
      <c r="K226" s="76" t="str">
        <f>EDR1!D256</f>
        <v>AUSILIARIO</v>
      </c>
      <c r="L226" s="76" t="str">
        <f>EDR1!C256</f>
        <v>G2</v>
      </c>
      <c r="M226" s="76" t="str">
        <f>EDR1!E256</f>
        <v>Officine Navi Traghetto</v>
      </c>
      <c r="N226" s="76"/>
      <c r="O226" s="76"/>
      <c r="P226" s="82">
        <f>VLOOKUP(L226&amp;$K$2&amp;K226&amp;$K$2&amp;M226,EDR1!$A$36:$Q$268,16,FALSE)</f>
        <v>25</v>
      </c>
      <c r="Q226" s="82">
        <f>VLOOKUP(L226&amp;$K$2&amp;K226&amp;$K$2&amp;M226,EDR1!$A$36:$Q$268,17,FALSE)</f>
        <v>58</v>
      </c>
      <c r="R226" s="77">
        <f t="shared" si="40"/>
        <v>221</v>
      </c>
      <c r="S226" s="80">
        <f t="shared" si="41"/>
      </c>
      <c r="T226" s="77">
        <f t="shared" si="42"/>
      </c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</row>
    <row r="227" spans="1:33" ht="12.75" hidden="1">
      <c r="A227" s="76" t="str">
        <f t="shared" si="43"/>
        <v>G2-AUSILIARIO</v>
      </c>
      <c r="B227" s="81" t="str">
        <f t="shared" si="36"/>
        <v>12-G2</v>
      </c>
      <c r="C227" s="81">
        <f>COUNTIF($B$6:B227,"="&amp;B227)</f>
        <v>1</v>
      </c>
      <c r="D227" s="81" t="str">
        <f t="shared" si="37"/>
        <v>1-12-G2</v>
      </c>
      <c r="E227" s="76" t="str">
        <f t="shared" si="44"/>
        <v>AUSILIARIO-Officine Nazionali Infrastrutture</v>
      </c>
      <c r="F227" s="76" t="str">
        <f t="shared" si="38"/>
        <v>AUSILIARIO-G2-Officine Nazionali Infrastrutture</v>
      </c>
      <c r="G227" s="76" t="str">
        <f t="shared" si="45"/>
        <v>12-AUSILIARIO-G2</v>
      </c>
      <c r="H227" s="76" t="str">
        <f t="shared" si="46"/>
        <v>G2-AUSILIARIO-1-12-G2</v>
      </c>
      <c r="I227" s="76">
        <f t="shared" si="39"/>
        <v>81</v>
      </c>
      <c r="J227" s="76">
        <f>COUNTIF($A$6:A227,"="&amp;A227)</f>
        <v>12</v>
      </c>
      <c r="K227" s="76" t="str">
        <f>EDR1!D257</f>
        <v>AUSILIARIO</v>
      </c>
      <c r="L227" s="76" t="str">
        <f>EDR1!C257</f>
        <v>G2</v>
      </c>
      <c r="M227" s="76" t="str">
        <f>EDR1!E257</f>
        <v>Officine Nazionali Infrastrutture</v>
      </c>
      <c r="N227" s="76"/>
      <c r="O227" s="76"/>
      <c r="P227" s="82">
        <f>VLOOKUP(L227&amp;$K$2&amp;K227&amp;$K$2&amp;M227,EDR1!$A$36:$Q$268,16,FALSE)</f>
        <v>25</v>
      </c>
      <c r="Q227" s="82">
        <f>VLOOKUP(L227&amp;$K$2&amp;K227&amp;$K$2&amp;M227,EDR1!$A$36:$Q$268,17,FALSE)</f>
        <v>58</v>
      </c>
      <c r="R227" s="77">
        <f t="shared" si="40"/>
        <v>222</v>
      </c>
      <c r="S227" s="80">
        <f t="shared" si="41"/>
      </c>
      <c r="T227" s="77">
        <f t="shared" si="42"/>
      </c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</row>
    <row r="228" spans="1:33" ht="12.75" hidden="1">
      <c r="A228" s="76" t="str">
        <f t="shared" si="43"/>
        <v>G2-AUSILIARIO</v>
      </c>
      <c r="B228" s="81" t="str">
        <f t="shared" si="36"/>
        <v>13-G2</v>
      </c>
      <c r="C228" s="81">
        <f>COUNTIF($B$6:B228,"="&amp;B228)</f>
        <v>1</v>
      </c>
      <c r="D228" s="81" t="str">
        <f t="shared" si="37"/>
        <v>1-13-G2</v>
      </c>
      <c r="E228" s="76" t="str">
        <f t="shared" si="44"/>
        <v>AUSILIARIO-Ex profilo non previsto</v>
      </c>
      <c r="F228" s="76" t="str">
        <f t="shared" si="38"/>
        <v>AUSILIARIO-G2-Ex profilo non previsto</v>
      </c>
      <c r="G228" s="76" t="str">
        <f t="shared" si="45"/>
        <v>13-AUSILIARIO-G2</v>
      </c>
      <c r="H228" s="76" t="str">
        <f t="shared" si="46"/>
        <v>G2-AUSILIARIO-1-13-G2</v>
      </c>
      <c r="I228" s="76">
        <f t="shared" si="39"/>
        <v>81</v>
      </c>
      <c r="J228" s="76">
        <f>COUNTIF($A$6:A228,"="&amp;A228)</f>
        <v>13</v>
      </c>
      <c r="K228" s="76" t="str">
        <f>EDR1!D258</f>
        <v>AUSILIARIO</v>
      </c>
      <c r="L228" s="76" t="str">
        <f>EDR1!C258</f>
        <v>G2</v>
      </c>
      <c r="M228" s="76" t="str">
        <f>EDR1!E258</f>
        <v>Ex profilo non previsto</v>
      </c>
      <c r="N228" s="76"/>
      <c r="O228" s="76"/>
      <c r="P228" s="82">
        <f>VLOOKUP(L228&amp;$K$2&amp;K228&amp;$K$2&amp;M228,EDR1!$A$36:$Q$268,16,FALSE)</f>
        <v>30</v>
      </c>
      <c r="Q228" s="82">
        <f>VLOOKUP(L228&amp;$K$2&amp;K228&amp;$K$2&amp;M228,EDR1!$A$36:$Q$268,17,FALSE)</f>
        <v>65</v>
      </c>
      <c r="R228" s="77">
        <f t="shared" si="40"/>
        <v>223</v>
      </c>
      <c r="S228" s="80">
        <f t="shared" si="41"/>
      </c>
      <c r="T228" s="77">
        <f t="shared" si="42"/>
      </c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</row>
    <row r="229" spans="1:33" ht="12.75" hidden="1">
      <c r="A229" s="76" t="str">
        <f t="shared" si="43"/>
        <v>G2-CARBONAIO</v>
      </c>
      <c r="B229" s="81" t="str">
        <f t="shared" si="36"/>
        <v>1-G2</v>
      </c>
      <c r="C229" s="81">
        <f>COUNTIF($B$6:B229,"="&amp;B229)</f>
        <v>2</v>
      </c>
      <c r="D229" s="81" t="str">
        <f t="shared" si="37"/>
        <v>2-1-G2</v>
      </c>
      <c r="E229" s="76" t="str">
        <f t="shared" si="44"/>
        <v>CARBONAIO-Carbonaio (par. 122)</v>
      </c>
      <c r="F229" s="76" t="str">
        <f t="shared" si="38"/>
        <v>CARBONAIO-G2-Carbonaio (par. 122)</v>
      </c>
      <c r="G229" s="76" t="str">
        <f t="shared" si="45"/>
        <v>1-CARBONAIO-G2</v>
      </c>
      <c r="H229" s="76" t="str">
        <f t="shared" si="46"/>
        <v>G2-CARBONAIO-2-1-G2</v>
      </c>
      <c r="I229" s="76">
        <f t="shared" si="39"/>
        <v>82</v>
      </c>
      <c r="J229" s="76">
        <f>COUNTIF($A$6:A229,"="&amp;A229)</f>
        <v>1</v>
      </c>
      <c r="K229" s="76" t="str">
        <f>EDR1!D259</f>
        <v>CARBONAIO</v>
      </c>
      <c r="L229" s="76" t="str">
        <f>EDR1!C259</f>
        <v>G2</v>
      </c>
      <c r="M229" s="76" t="str">
        <f>EDR1!E259</f>
        <v>Carbonaio (par. 122)</v>
      </c>
      <c r="N229" s="76"/>
      <c r="O229" s="76"/>
      <c r="P229" s="82">
        <f>VLOOKUP(L229&amp;$K$2&amp;K229&amp;$K$2&amp;M229,EDR1!$A$36:$Q$268,16,FALSE)</f>
        <v>25</v>
      </c>
      <c r="Q229" s="82">
        <f>VLOOKUP(L229&amp;$K$2&amp;K229&amp;$K$2&amp;M229,EDR1!$A$36:$Q$268,17,FALSE)</f>
        <v>58</v>
      </c>
      <c r="R229" s="77">
        <f t="shared" si="40"/>
        <v>224</v>
      </c>
      <c r="S229" s="80">
        <f t="shared" si="41"/>
      </c>
      <c r="T229" s="77">
        <f t="shared" si="42"/>
      </c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</row>
    <row r="230" spans="1:33" ht="12.75" hidden="1">
      <c r="A230" s="76" t="str">
        <f t="shared" si="43"/>
        <v>G2-GARZONE DI CAMERA</v>
      </c>
      <c r="B230" s="81" t="str">
        <f t="shared" si="36"/>
        <v>1-G2</v>
      </c>
      <c r="C230" s="81">
        <f>COUNTIF($B$6:B230,"="&amp;B230)</f>
        <v>3</v>
      </c>
      <c r="D230" s="81" t="str">
        <f t="shared" si="37"/>
        <v>3-1-G2</v>
      </c>
      <c r="E230" s="76" t="str">
        <f t="shared" si="44"/>
        <v>GARZONE DI CAMERA-Garzone di Camera</v>
      </c>
      <c r="F230" s="76" t="str">
        <f t="shared" si="38"/>
        <v>GARZONE DI CAMERA-G2-Garzone di Camera</v>
      </c>
      <c r="G230" s="76" t="str">
        <f t="shared" si="45"/>
        <v>1-GARZONE DI CAMERA-G2</v>
      </c>
      <c r="H230" s="76" t="str">
        <f t="shared" si="46"/>
        <v>G2-GARZONE DI CAMERA-3-1-G2</v>
      </c>
      <c r="I230" s="76">
        <f t="shared" si="39"/>
        <v>83</v>
      </c>
      <c r="J230" s="76">
        <f>COUNTIF($A$6:A230,"="&amp;A230)</f>
        <v>1</v>
      </c>
      <c r="K230" s="76" t="str">
        <f>EDR1!D260</f>
        <v>GARZONE DI CAMERA</v>
      </c>
      <c r="L230" s="76" t="str">
        <f>EDR1!C260</f>
        <v>G2</v>
      </c>
      <c r="M230" s="76" t="str">
        <f>EDR1!E260</f>
        <v>Garzone di Camera</v>
      </c>
      <c r="N230" s="76"/>
      <c r="O230" s="76"/>
      <c r="P230" s="82">
        <f>VLOOKUP(L230&amp;$K$2&amp;K230&amp;$K$2&amp;M230,EDR1!$A$36:$Q$268,16,FALSE)</f>
        <v>25</v>
      </c>
      <c r="Q230" s="82">
        <f>VLOOKUP(L230&amp;$K$2&amp;K230&amp;$K$2&amp;M230,EDR1!$A$36:$Q$268,17,FALSE)</f>
        <v>58</v>
      </c>
      <c r="R230" s="77">
        <f t="shared" si="40"/>
        <v>225</v>
      </c>
      <c r="S230" s="80">
        <f t="shared" si="41"/>
      </c>
      <c r="T230" s="77">
        <f t="shared" si="42"/>
      </c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</row>
    <row r="231" spans="1:33" ht="12.75" hidden="1">
      <c r="A231" s="76" t="str">
        <f t="shared" si="43"/>
        <v>G2-GARZONE DI CUCINA</v>
      </c>
      <c r="B231" s="81" t="str">
        <f t="shared" si="36"/>
        <v>1-G2</v>
      </c>
      <c r="C231" s="81">
        <f>COUNTIF($B$6:B231,"="&amp;B231)</f>
        <v>4</v>
      </c>
      <c r="D231" s="81" t="str">
        <f t="shared" si="37"/>
        <v>4-1-G2</v>
      </c>
      <c r="E231" s="76" t="str">
        <f t="shared" si="44"/>
        <v>GARZONE DI CUCINA-Garzone di Cucina</v>
      </c>
      <c r="F231" s="76" t="str">
        <f t="shared" si="38"/>
        <v>GARZONE DI CUCINA-G2-Garzone di Cucina</v>
      </c>
      <c r="G231" s="76" t="str">
        <f t="shared" si="45"/>
        <v>1-GARZONE DI CUCINA-G2</v>
      </c>
      <c r="H231" s="76" t="str">
        <f t="shared" si="46"/>
        <v>G2-GARZONE DI CUCINA-4-1-G2</v>
      </c>
      <c r="I231" s="76">
        <f t="shared" si="39"/>
        <v>84</v>
      </c>
      <c r="J231" s="76">
        <f>COUNTIF($A$6:A231,"="&amp;A231)</f>
        <v>1</v>
      </c>
      <c r="K231" s="76" t="str">
        <f>EDR1!D261</f>
        <v>GARZONE DI CUCINA</v>
      </c>
      <c r="L231" s="76" t="str">
        <f>EDR1!C261</f>
        <v>G2</v>
      </c>
      <c r="M231" s="76" t="str">
        <f>EDR1!E261</f>
        <v>Garzone di Cucina</v>
      </c>
      <c r="N231" s="76"/>
      <c r="O231" s="76"/>
      <c r="P231" s="82">
        <f>VLOOKUP(L231&amp;$K$2&amp;K231&amp;$K$2&amp;M231,EDR1!$A$36:$Q$268,16,FALSE)</f>
        <v>25</v>
      </c>
      <c r="Q231" s="82">
        <f>VLOOKUP(L231&amp;$K$2&amp;K231&amp;$K$2&amp;M231,EDR1!$A$36:$Q$268,17,FALSE)</f>
        <v>58</v>
      </c>
      <c r="R231" s="77">
        <f t="shared" si="40"/>
        <v>226</v>
      </c>
      <c r="S231" s="80">
        <f t="shared" si="41"/>
      </c>
      <c r="T231" s="77">
        <f t="shared" si="42"/>
      </c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</row>
    <row r="232" spans="1:33" ht="12.75" hidden="1">
      <c r="A232" s="76" t="str">
        <f t="shared" si="43"/>
        <v>G2-GIOVANOTTO DI COPERTA</v>
      </c>
      <c r="B232" s="81" t="str">
        <f t="shared" si="36"/>
        <v>1-G2</v>
      </c>
      <c r="C232" s="81">
        <f>COUNTIF($B$6:B232,"="&amp;B232)</f>
        <v>5</v>
      </c>
      <c r="D232" s="81" t="str">
        <f t="shared" si="37"/>
        <v>5-1-G2</v>
      </c>
      <c r="E232" s="76" t="str">
        <f t="shared" si="44"/>
        <v>GIOVANOTTO DI COPERTA-Giovanotto di Coperta</v>
      </c>
      <c r="F232" s="76" t="str">
        <f t="shared" si="38"/>
        <v>GIOVANOTTO DI COPERTA-G2-Giovanotto di Coperta</v>
      </c>
      <c r="G232" s="76" t="str">
        <f t="shared" si="45"/>
        <v>1-GIOVANOTTO DI COPERTA-G2</v>
      </c>
      <c r="H232" s="76" t="str">
        <f t="shared" si="46"/>
        <v>G2-GIOVANOTTO DI COPERTA-5-1-G2</v>
      </c>
      <c r="I232" s="76">
        <f t="shared" si="39"/>
        <v>85</v>
      </c>
      <c r="J232" s="76">
        <f>COUNTIF($A$6:A232,"="&amp;A232)</f>
        <v>1</v>
      </c>
      <c r="K232" s="76" t="str">
        <f>EDR1!D262</f>
        <v>GIOVANOTTO DI COPERTA</v>
      </c>
      <c r="L232" s="76" t="str">
        <f>EDR1!C262</f>
        <v>G2</v>
      </c>
      <c r="M232" s="76" t="str">
        <f>EDR1!E262</f>
        <v>Giovanotto di Coperta</v>
      </c>
      <c r="N232" s="76"/>
      <c r="O232" s="76"/>
      <c r="P232" s="82">
        <f>VLOOKUP(L232&amp;$K$2&amp;K232&amp;$K$2&amp;M232,EDR1!$A$36:$Q$268,16,FALSE)</f>
        <v>25</v>
      </c>
      <c r="Q232" s="82">
        <f>VLOOKUP(L232&amp;$K$2&amp;K232&amp;$K$2&amp;M232,EDR1!$A$36:$Q$268,17,FALSE)</f>
        <v>58</v>
      </c>
      <c r="R232" s="77">
        <f t="shared" si="40"/>
        <v>227</v>
      </c>
      <c r="S232" s="80">
        <f t="shared" si="41"/>
      </c>
      <c r="T232" s="77">
        <f t="shared" si="42"/>
      </c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</row>
    <row r="233" spans="1:33" ht="12.75" hidden="1">
      <c r="A233" s="76" t="str">
        <f t="shared" si="43"/>
        <v>H-ALLIEVO COMUNE POLIVALENTE</v>
      </c>
      <c r="B233" s="81" t="str">
        <f t="shared" si="36"/>
        <v>1-H</v>
      </c>
      <c r="C233" s="81">
        <f>COUNTIF($B$6:B233,"="&amp;B233)</f>
        <v>1</v>
      </c>
      <c r="D233" s="81" t="str">
        <f t="shared" si="37"/>
        <v>1-1-H</v>
      </c>
      <c r="E233" s="76" t="str">
        <f t="shared" si="44"/>
        <v>ALLIEVO COMUNE POLIVALENTE-Allievo Comune Polivalente</v>
      </c>
      <c r="F233" s="76" t="str">
        <f t="shared" si="38"/>
        <v>ALLIEVO COMUNE POLIVALENTE-H-Allievo Comune Polivalente</v>
      </c>
      <c r="G233" s="76" t="str">
        <f t="shared" si="45"/>
        <v>1-ALLIEVO COMUNE POLIVALENTE-H</v>
      </c>
      <c r="H233" s="76" t="str">
        <f t="shared" si="46"/>
        <v>H-ALLIEVO COMUNE POLIVALENTE-1-1-H</v>
      </c>
      <c r="I233" s="76">
        <f t="shared" si="39"/>
        <v>86</v>
      </c>
      <c r="J233" s="76">
        <f>COUNTIF($A$6:A233,"="&amp;A233)</f>
        <v>1</v>
      </c>
      <c r="K233" s="76" t="str">
        <f>EDR1!D263</f>
        <v>ALLIEVO COMUNE POLIVALENTE</v>
      </c>
      <c r="L233" s="76" t="str">
        <f>EDR1!C263</f>
        <v>H</v>
      </c>
      <c r="M233" s="76" t="str">
        <f>EDR1!E263</f>
        <v>Allievo Comune Polivalente</v>
      </c>
      <c r="N233" s="76"/>
      <c r="O233" s="76"/>
      <c r="P233" s="82">
        <f>VLOOKUP(L233&amp;$K$2&amp;K233&amp;$K$2&amp;M233,EDR1!$A$36:$Q$268,16,FALSE)</f>
        <v>30</v>
      </c>
      <c r="Q233" s="82">
        <f>VLOOKUP(L233&amp;$K$2&amp;K233&amp;$K$2&amp;M233,EDR1!$A$36:$Q$268,17,FALSE)</f>
        <v>65</v>
      </c>
      <c r="R233" s="77">
        <f t="shared" si="40"/>
        <v>228</v>
      </c>
      <c r="S233" s="80">
        <f t="shared" si="41"/>
      </c>
      <c r="T233" s="77">
        <f t="shared" si="42"/>
      </c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</row>
    <row r="234" spans="1:33" ht="12.75" hidden="1">
      <c r="A234" s="76" t="str">
        <f t="shared" si="43"/>
        <v>H-MANOVALE</v>
      </c>
      <c r="B234" s="81" t="str">
        <f t="shared" si="36"/>
        <v>1-H</v>
      </c>
      <c r="C234" s="81">
        <f>COUNTIF($B$6:B234,"="&amp;B234)</f>
        <v>2</v>
      </c>
      <c r="D234" s="81" t="str">
        <f t="shared" si="37"/>
        <v>2-1-H</v>
      </c>
      <c r="E234" s="76" t="str">
        <f t="shared" si="44"/>
        <v>MANOVALE-Ex profilo non previsto</v>
      </c>
      <c r="F234" s="76" t="str">
        <f t="shared" si="38"/>
        <v>MANOVALE-H-Ex profilo non previsto</v>
      </c>
      <c r="G234" s="76" t="str">
        <f t="shared" si="45"/>
        <v>1-MANOVALE-H</v>
      </c>
      <c r="H234" s="76" t="str">
        <f t="shared" si="46"/>
        <v>H-MANOVALE-2-1-H</v>
      </c>
      <c r="I234" s="76">
        <f t="shared" si="39"/>
        <v>87</v>
      </c>
      <c r="J234" s="76">
        <f>COUNTIF($A$6:A234,"="&amp;A234)</f>
        <v>1</v>
      </c>
      <c r="K234" s="76" t="str">
        <f>EDR1!D264</f>
        <v>MANOVALE</v>
      </c>
      <c r="L234" s="76" t="str">
        <f>EDR1!C264</f>
        <v>H</v>
      </c>
      <c r="M234" s="76" t="str">
        <f>EDR1!E264</f>
        <v>Ex profilo non previsto</v>
      </c>
      <c r="N234" s="76"/>
      <c r="O234" s="76"/>
      <c r="P234" s="82">
        <f>VLOOKUP(L234&amp;$K$2&amp;K234&amp;$K$2&amp;M234,EDR1!$A$36:$Q$268,16,FALSE)</f>
        <v>30</v>
      </c>
      <c r="Q234" s="82">
        <f>VLOOKUP(L234&amp;$K$2&amp;K234&amp;$K$2&amp;M234,EDR1!$A$36:$Q$268,17,FALSE)</f>
        <v>65</v>
      </c>
      <c r="R234" s="77">
        <f t="shared" si="40"/>
        <v>229</v>
      </c>
      <c r="S234" s="80">
        <f t="shared" si="41"/>
      </c>
      <c r="T234" s="77">
        <f t="shared" si="42"/>
      </c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</row>
    <row r="235" spans="1:33" ht="12.75" hidden="1">
      <c r="A235" s="76" t="str">
        <f t="shared" si="43"/>
        <v>H-MOZZO</v>
      </c>
      <c r="B235" s="81" t="str">
        <f t="shared" si="36"/>
        <v>1-H</v>
      </c>
      <c r="C235" s="81">
        <f>COUNTIF($B$6:B235,"="&amp;B235)</f>
        <v>3</v>
      </c>
      <c r="D235" s="81" t="str">
        <f t="shared" si="37"/>
        <v>3-1-H</v>
      </c>
      <c r="E235" s="76" t="str">
        <f t="shared" si="44"/>
        <v>MOZZO-Mozzo</v>
      </c>
      <c r="F235" s="76" t="str">
        <f t="shared" si="38"/>
        <v>MOZZO-H-Mozzo</v>
      </c>
      <c r="G235" s="76" t="str">
        <f t="shared" si="45"/>
        <v>1-MOZZO-H</v>
      </c>
      <c r="H235" s="76" t="str">
        <f t="shared" si="46"/>
        <v>H-MOZZO-3-1-H</v>
      </c>
      <c r="I235" s="76">
        <f t="shared" si="39"/>
        <v>88</v>
      </c>
      <c r="J235" s="76">
        <f>COUNTIF($A$6:A235,"="&amp;A235)</f>
        <v>1</v>
      </c>
      <c r="K235" s="76" t="str">
        <f>EDR1!D265</f>
        <v>MOZZO</v>
      </c>
      <c r="L235" s="76" t="str">
        <f>EDR1!C265</f>
        <v>H</v>
      </c>
      <c r="M235" s="76" t="str">
        <f>EDR1!E265</f>
        <v>Mozzo</v>
      </c>
      <c r="N235" s="76"/>
      <c r="O235" s="76"/>
      <c r="P235" s="82">
        <f>VLOOKUP(L235&amp;$K$2&amp;K235&amp;$K$2&amp;M235,EDR1!$A$36:$Q$268,16,FALSE)</f>
        <v>30</v>
      </c>
      <c r="Q235" s="82">
        <f>VLOOKUP(L235&amp;$K$2&amp;K235&amp;$K$2&amp;M235,EDR1!$A$36:$Q$268,17,FALSE)</f>
        <v>65</v>
      </c>
      <c r="R235" s="77">
        <f t="shared" si="40"/>
        <v>230</v>
      </c>
      <c r="S235" s="80">
        <f t="shared" si="41"/>
      </c>
      <c r="T235" s="77">
        <f t="shared" si="42"/>
      </c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</row>
    <row r="236" spans="1:33" ht="12.75" hidden="1">
      <c r="A236" s="76" t="str">
        <f t="shared" si="43"/>
        <v>H-PICCOLO DI CAMERA</v>
      </c>
      <c r="B236" s="81" t="str">
        <f t="shared" si="36"/>
        <v>1-H</v>
      </c>
      <c r="C236" s="81">
        <f>COUNTIF($B$6:B236,"="&amp;B236)</f>
        <v>4</v>
      </c>
      <c r="D236" s="81" t="str">
        <f t="shared" si="37"/>
        <v>4-1-H</v>
      </c>
      <c r="E236" s="76" t="str">
        <f t="shared" si="44"/>
        <v>PICCOLO DI CAMERA-Piccolo di Camera</v>
      </c>
      <c r="F236" s="76" t="str">
        <f t="shared" si="38"/>
        <v>PICCOLO DI CAMERA-H-Piccolo di Camera</v>
      </c>
      <c r="G236" s="76" t="str">
        <f t="shared" si="45"/>
        <v>1-PICCOLO DI CAMERA-H</v>
      </c>
      <c r="H236" s="76" t="str">
        <f t="shared" si="46"/>
        <v>H-PICCOLO DI CAMERA-4-1-H</v>
      </c>
      <c r="I236" s="76">
        <f t="shared" si="39"/>
        <v>89</v>
      </c>
      <c r="J236" s="76">
        <f>COUNTIF($A$6:A236,"="&amp;A236)</f>
        <v>1</v>
      </c>
      <c r="K236" s="76" t="str">
        <f>EDR1!D266</f>
        <v>PICCOLO DI CAMERA</v>
      </c>
      <c r="L236" s="76" t="str">
        <f>EDR1!C266</f>
        <v>H</v>
      </c>
      <c r="M236" s="76" t="str">
        <f>EDR1!E266</f>
        <v>Piccolo di Camera</v>
      </c>
      <c r="N236" s="76"/>
      <c r="O236" s="76"/>
      <c r="P236" s="82">
        <f>VLOOKUP(L236&amp;$K$2&amp;K236&amp;$K$2&amp;M236,EDR1!$A$36:$Q$268,16,FALSE)</f>
        <v>30</v>
      </c>
      <c r="Q236" s="82">
        <f>VLOOKUP(L236&amp;$K$2&amp;K236&amp;$K$2&amp;M236,EDR1!$A$36:$Q$268,17,FALSE)</f>
        <v>65</v>
      </c>
      <c r="R236" s="77">
        <f t="shared" si="40"/>
        <v>231</v>
      </c>
      <c r="S236" s="80">
        <f t="shared" si="41"/>
      </c>
      <c r="T236" s="77">
        <f t="shared" si="42"/>
      </c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</row>
    <row r="237" spans="1:33" ht="12.75" hidden="1">
      <c r="A237" s="76" t="str">
        <f t="shared" si="43"/>
        <v>H-PICCOLO DI CUCINA</v>
      </c>
      <c r="B237" s="81" t="str">
        <f t="shared" si="36"/>
        <v>1-H</v>
      </c>
      <c r="C237" s="81">
        <f>COUNTIF($B$6:B237,"="&amp;B237)</f>
        <v>5</v>
      </c>
      <c r="D237" s="81" t="str">
        <f t="shared" si="37"/>
        <v>5-1-H</v>
      </c>
      <c r="E237" s="76" t="str">
        <f t="shared" si="44"/>
        <v>PICCOLO DI CUCINA-Piccolo di Cucina</v>
      </c>
      <c r="F237" s="76" t="str">
        <f t="shared" si="38"/>
        <v>PICCOLO DI CUCINA-H-Piccolo di Cucina</v>
      </c>
      <c r="G237" s="76" t="str">
        <f t="shared" si="45"/>
        <v>1-PICCOLO DI CUCINA-H</v>
      </c>
      <c r="H237" s="76" t="str">
        <f t="shared" si="46"/>
        <v>H-PICCOLO DI CUCINA-5-1-H</v>
      </c>
      <c r="I237" s="76">
        <f t="shared" si="39"/>
        <v>90</v>
      </c>
      <c r="J237" s="76">
        <f>COUNTIF($A$6:A237,"="&amp;A237)</f>
        <v>1</v>
      </c>
      <c r="K237" s="76" t="str">
        <f>EDR1!D267</f>
        <v>PICCOLO DI CUCINA</v>
      </c>
      <c r="L237" s="76" t="str">
        <f>EDR1!C267</f>
        <v>H</v>
      </c>
      <c r="M237" s="76" t="str">
        <f>EDR1!E267</f>
        <v>Piccolo di Cucina</v>
      </c>
      <c r="N237" s="76"/>
      <c r="O237" s="76"/>
      <c r="P237" s="82">
        <f>VLOOKUP(L237&amp;$K$2&amp;K237&amp;$K$2&amp;M237,EDR1!$A$36:$Q$268,16,FALSE)</f>
        <v>30</v>
      </c>
      <c r="Q237" s="82">
        <f>VLOOKUP(L237&amp;$K$2&amp;K237&amp;$K$2&amp;M237,EDR1!$A$36:$Q$268,17,FALSE)</f>
        <v>65</v>
      </c>
      <c r="R237" s="77">
        <f t="shared" si="40"/>
        <v>232</v>
      </c>
      <c r="S237" s="80">
        <f t="shared" si="41"/>
      </c>
      <c r="T237" s="77">
        <f t="shared" si="42"/>
      </c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</row>
    <row r="238" spans="1:33" ht="12.75" hidden="1">
      <c r="A238" s="76"/>
      <c r="B238" s="76"/>
      <c r="C238" s="76"/>
      <c r="D238" s="76" t="str">
        <f>I238&amp;$K$2&amp;J238&amp;$K$2&amp;L238</f>
        <v>--</v>
      </c>
      <c r="E238" s="76" t="str">
        <f t="shared" si="44"/>
        <v>-</v>
      </c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7">
        <f t="shared" si="40"/>
        <v>233</v>
      </c>
      <c r="S238" s="80">
        <f>IF(ISNA(VLOOKUP((R237+1)&amp;$K$2&amp;$S$5&amp;$K$2&amp;$E$3,$H$6:$M$237,$K$4,FALSE)),"",VLOOKUP((R237+1)&amp;$K$2&amp;$S$5&amp;$K$2&amp;$E$3,$H$6:$M$237,$K$4,FALSE))</f>
      </c>
      <c r="T238" s="77">
        <f t="shared" si="42"/>
      </c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</row>
  </sheetData>
  <sheetProtection password="8E6D" sheet="1" objects="1" scenarios="1"/>
  <dataValidations count="1">
    <dataValidation type="list" allowBlank="1" showInputMessage="1" showErrorMessage="1" sqref="E2">
      <formula1>FIGUREPROF</formula1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"/>
  <dimension ref="A1:V40"/>
  <sheetViews>
    <sheetView zoomScale="75" zoomScaleNormal="75" workbookViewId="0" topLeftCell="A1">
      <selection activeCell="A1" sqref="A1:IV16384"/>
    </sheetView>
  </sheetViews>
  <sheetFormatPr defaultColWidth="9.140625" defaultRowHeight="3" customHeight="1"/>
  <cols>
    <col min="1" max="16384" width="0.42578125" style="76" customWidth="1"/>
  </cols>
  <sheetData>
    <row r="1" spans="3:6" ht="3" customHeight="1" thickBot="1">
      <c r="C1" s="106" t="s">
        <v>54</v>
      </c>
      <c r="D1" s="106"/>
      <c r="E1" s="106"/>
      <c r="F1" s="106"/>
    </row>
    <row r="2" spans="3:8" ht="3" customHeight="1" thickBot="1">
      <c r="C2" s="107" t="s">
        <v>454</v>
      </c>
      <c r="D2" s="108"/>
      <c r="E2" s="108"/>
      <c r="F2" s="108"/>
      <c r="G2" s="108"/>
      <c r="H2" s="109"/>
    </row>
    <row r="3" spans="3:9" ht="3" customHeight="1" thickBot="1" thickTop="1">
      <c r="C3" s="110">
        <v>39293</v>
      </c>
      <c r="D3" s="72"/>
      <c r="I3" s="115"/>
    </row>
    <row r="4" spans="7:12" ht="3" customHeight="1" thickTop="1">
      <c r="G4" s="111"/>
      <c r="H4" s="111"/>
      <c r="I4" s="111"/>
      <c r="J4" s="111"/>
      <c r="K4" s="111"/>
      <c r="L4" s="112"/>
    </row>
    <row r="5" spans="2:5" ht="3" customHeight="1">
      <c r="B5" s="113"/>
      <c r="D5" s="72"/>
      <c r="E5" s="72"/>
    </row>
    <row r="6" spans="2:22" ht="3" customHeight="1">
      <c r="B6" s="72" t="s">
        <v>524</v>
      </c>
      <c r="C6" s="114"/>
      <c r="D6" s="72"/>
      <c r="E6" s="72"/>
      <c r="J6" s="115"/>
      <c r="K6" s="115"/>
      <c r="L6" s="115"/>
      <c r="M6" s="115"/>
      <c r="Q6" s="115"/>
      <c r="R6" s="115"/>
      <c r="S6" s="115"/>
      <c r="T6" s="115"/>
      <c r="U6" s="115"/>
      <c r="V6" s="115"/>
    </row>
    <row r="7" spans="2:22" ht="3" customHeight="1">
      <c r="B7" s="72" t="s">
        <v>525</v>
      </c>
      <c r="C7" s="114"/>
      <c r="D7" s="72"/>
      <c r="E7" s="72"/>
      <c r="J7" s="115"/>
      <c r="K7" s="115"/>
      <c r="L7" s="115"/>
      <c r="M7" s="115"/>
      <c r="Q7" s="115"/>
      <c r="R7" s="115"/>
      <c r="S7" s="115"/>
      <c r="T7" s="115"/>
      <c r="U7" s="115"/>
      <c r="V7" s="115"/>
    </row>
    <row r="8" spans="2:22" ht="3" customHeight="1" thickBot="1">
      <c r="B8" s="72" t="s">
        <v>48</v>
      </c>
      <c r="C8" s="116"/>
      <c r="D8" s="72"/>
      <c r="E8" s="72"/>
      <c r="J8" s="115"/>
      <c r="K8" s="115"/>
      <c r="L8" s="115"/>
      <c r="M8" s="115"/>
      <c r="Q8" s="115"/>
      <c r="R8" s="115"/>
      <c r="S8" s="115"/>
      <c r="T8" s="115"/>
      <c r="U8" s="115"/>
      <c r="V8" s="115"/>
    </row>
    <row r="9" spans="2:22" ht="3" customHeight="1" thickBot="1">
      <c r="B9" s="117" t="s">
        <v>526</v>
      </c>
      <c r="C9" s="118"/>
      <c r="D9" s="72"/>
      <c r="E9" s="119"/>
      <c r="J9" s="115"/>
      <c r="K9" s="115"/>
      <c r="L9" s="115"/>
      <c r="M9" s="115"/>
      <c r="Q9" s="115"/>
      <c r="R9" s="115"/>
      <c r="S9" s="115"/>
      <c r="T9" s="115"/>
      <c r="U9" s="115"/>
      <c r="V9" s="115"/>
    </row>
    <row r="10" spans="2:22" ht="3" customHeight="1" thickBot="1">
      <c r="B10" s="72" t="s">
        <v>332</v>
      </c>
      <c r="C10" s="120"/>
      <c r="D10" s="72"/>
      <c r="E10" s="121"/>
      <c r="J10" s="115"/>
      <c r="K10" s="115"/>
      <c r="L10" s="115"/>
      <c r="M10" s="115"/>
      <c r="Q10" s="115"/>
      <c r="R10" s="115"/>
      <c r="S10" s="115"/>
      <c r="T10" s="115"/>
      <c r="U10" s="115"/>
      <c r="V10" s="115"/>
    </row>
    <row r="11" spans="2:22" ht="3" customHeight="1" thickBot="1">
      <c r="B11" s="72" t="s">
        <v>343</v>
      </c>
      <c r="C11" s="120"/>
      <c r="D11" s="72"/>
      <c r="I11" s="115"/>
      <c r="J11" s="115"/>
      <c r="K11" s="115"/>
      <c r="L11" s="115"/>
      <c r="M11" s="122"/>
      <c r="N11" s="115"/>
      <c r="Q11" s="115"/>
      <c r="R11" s="115"/>
      <c r="S11" s="115"/>
      <c r="T11" s="115"/>
      <c r="U11" s="115"/>
      <c r="V11" s="115"/>
    </row>
    <row r="12" spans="2:22" ht="3" customHeight="1" thickBot="1">
      <c r="B12" s="72" t="s">
        <v>27</v>
      </c>
      <c r="C12" s="120"/>
      <c r="D12" s="72"/>
      <c r="J12" s="115"/>
      <c r="K12" s="115"/>
      <c r="L12" s="115"/>
      <c r="M12" s="115"/>
      <c r="Q12" s="115"/>
      <c r="R12" s="115"/>
      <c r="S12" s="115"/>
      <c r="T12" s="115"/>
      <c r="U12" s="115"/>
      <c r="V12" s="115"/>
    </row>
    <row r="13" spans="2:9" ht="3" customHeight="1">
      <c r="B13" s="123" t="s">
        <v>58</v>
      </c>
      <c r="C13" s="124"/>
      <c r="G13" s="72" t="s">
        <v>57</v>
      </c>
      <c r="I13" s="115"/>
    </row>
    <row r="14" spans="2:9" ht="3" customHeight="1">
      <c r="B14" s="125" t="str">
        <f>IF(ISNA(Parametri!$E$2),"",Parametri!$E$2)</f>
        <v>PROFESSIONAL SENIOR </v>
      </c>
      <c r="C14" s="126"/>
      <c r="D14" s="125" t="str">
        <f>IF(ISNA(Parametri!$E$4),"",Parametri!$E$4)</f>
        <v>Capo Settore Stazioni</v>
      </c>
      <c r="E14" s="127"/>
      <c r="F14" s="128"/>
      <c r="G14" s="129" t="str">
        <f>IF(ISNA(Parametri!$E$3),"",Parametri!$E$3)</f>
        <v>A</v>
      </c>
      <c r="I14" s="115"/>
    </row>
    <row r="15" spans="3:9" ht="3" customHeight="1" thickBot="1">
      <c r="C15" s="124"/>
      <c r="I15" s="115"/>
    </row>
    <row r="16" spans="2:9" ht="3" customHeight="1" thickTop="1">
      <c r="B16" s="130" t="s">
        <v>45</v>
      </c>
      <c r="C16" s="131"/>
      <c r="D16" s="132" t="s">
        <v>328</v>
      </c>
      <c r="E16" s="132"/>
      <c r="F16" s="132"/>
      <c r="G16" s="132"/>
      <c r="H16" s="133"/>
      <c r="I16" s="115"/>
    </row>
    <row r="17" spans="2:9" ht="3" customHeight="1">
      <c r="B17" s="134" t="s">
        <v>128</v>
      </c>
      <c r="C17" s="135"/>
      <c r="D17" s="136">
        <f>IF(link!B16=1,"",IF(AND(link!B24&gt;15,link!B24&lt;23),"Inserire SI nel controllo a sinistra",""))</f>
      </c>
      <c r="I17" s="115"/>
    </row>
    <row r="18" spans="2:4" ht="3" customHeight="1">
      <c r="B18" s="134" t="s">
        <v>323</v>
      </c>
      <c r="C18" s="137"/>
      <c r="D18" s="136" t="str">
        <f>IF(AND(C18&lt;7,EDR1!O7&gt;730),"Fino alla data di quiescenza matura un nuovo APA","")</f>
        <v>Fino alla data di quiescenza matura un nuovo APA</v>
      </c>
    </row>
    <row r="19" spans="2:3" ht="3" customHeight="1">
      <c r="B19" s="134" t="s">
        <v>140</v>
      </c>
      <c r="C19" s="138"/>
    </row>
    <row r="20" spans="2:4" ht="3" customHeight="1">
      <c r="B20" s="134" t="s">
        <v>329</v>
      </c>
      <c r="C20" s="139">
        <f>IF(ISNA(Parametri!$O$3),"",Parametri!$O$3)</f>
        <v>1879.54</v>
      </c>
      <c r="D20" s="112"/>
    </row>
    <row r="21" spans="2:4" ht="3" customHeight="1">
      <c r="B21" s="134" t="s">
        <v>330</v>
      </c>
      <c r="C21" s="139">
        <f>IF(ISNA(Parametri!$O$4),"",Parametri!$O$4)</f>
        <v>330.33</v>
      </c>
      <c r="D21" s="112"/>
    </row>
    <row r="22" spans="2:4" ht="3" customHeight="1">
      <c r="B22" s="134" t="s">
        <v>324</v>
      </c>
      <c r="C22" s="140"/>
      <c r="D22" s="112"/>
    </row>
    <row r="23" spans="2:4" ht="3" customHeight="1">
      <c r="B23" s="134" t="s">
        <v>331</v>
      </c>
      <c r="C23" s="140"/>
      <c r="D23" s="112"/>
    </row>
    <row r="24" spans="2:4" ht="3" customHeight="1">
      <c r="B24" s="134" t="s">
        <v>327</v>
      </c>
      <c r="C24" s="141">
        <f>IF(D24="",IF(ISNA(Parametri!$O$8),"",Parametri!$O$8),$D$24)</f>
        <v>176.09949446616451</v>
      </c>
      <c r="D24" s="141"/>
    </row>
    <row r="25" spans="2:4" ht="3" customHeight="1">
      <c r="B25" s="134" t="s">
        <v>322</v>
      </c>
      <c r="C25" s="142"/>
      <c r="D25" s="142"/>
    </row>
    <row r="26" spans="2:4" ht="3" customHeight="1">
      <c r="B26" s="134" t="s">
        <v>407</v>
      </c>
      <c r="C26" s="141">
        <f>IF(D26="",IF(ISNA(Parametri!$O$5),"",Parametri!$O$5),$D$26)</f>
        <v>189.54</v>
      </c>
      <c r="D26" s="141"/>
    </row>
    <row r="27" spans="2:4" ht="3" customHeight="1">
      <c r="B27" s="134" t="s">
        <v>44</v>
      </c>
      <c r="C27" s="141">
        <f>IF(D27="",IF(ISNA(Parametri!$O$6),"",Parametri!$O$6),$D$27)</f>
        <v>204.90479117065286</v>
      </c>
      <c r="D27" s="141"/>
    </row>
    <row r="28" spans="2:4" ht="3" customHeight="1">
      <c r="B28" s="134" t="s">
        <v>42</v>
      </c>
      <c r="C28" s="141">
        <f>IF(D28="",IF(ISNA(Parametri!$O$9),"",Parametri!$O$9),$D$28)</f>
        <v>325</v>
      </c>
      <c r="D28" s="141"/>
    </row>
    <row r="29" spans="2:4" ht="3" customHeight="1">
      <c r="B29" s="134" t="s">
        <v>43</v>
      </c>
      <c r="C29" s="143"/>
      <c r="D29" s="143"/>
    </row>
    <row r="30" spans="2:4" ht="3" customHeight="1">
      <c r="B30" s="134" t="s">
        <v>127</v>
      </c>
      <c r="C30" s="144">
        <f>IF(D30="",IF(ISNA(Parametri!$O$7),"",Parametri!$O$7),$D$30)</f>
        <v>329.02</v>
      </c>
      <c r="D30" s="144"/>
    </row>
    <row r="31" spans="2:4" ht="3" customHeight="1">
      <c r="B31" s="112"/>
      <c r="C31" s="112"/>
      <c r="D31" s="112"/>
    </row>
    <row r="32" spans="2:4" ht="3" customHeight="1">
      <c r="B32" s="112"/>
      <c r="C32" s="112"/>
      <c r="D32" s="112"/>
    </row>
    <row r="33" spans="2:8" ht="3" customHeight="1">
      <c r="B33" s="112" t="s">
        <v>529</v>
      </c>
      <c r="C33" s="145">
        <f>C20+C21+C22+C23+C24+C28+C30</f>
        <v>3039.989494466164</v>
      </c>
      <c r="D33" s="145">
        <v>3039.99</v>
      </c>
      <c r="H33" s="76" t="s">
        <v>527</v>
      </c>
    </row>
    <row r="34" spans="2:8" ht="3" customHeight="1">
      <c r="B34" s="112" t="s">
        <v>530</v>
      </c>
      <c r="C34" s="145">
        <f>'Ritenute Fiscali'!G14</f>
        <v>2024.641487220748</v>
      </c>
      <c r="D34" s="145">
        <f>'Ritenute Fiscali'!J14</f>
        <v>2024.6417672566665</v>
      </c>
      <c r="H34" s="76" t="s">
        <v>527</v>
      </c>
    </row>
    <row r="40" ht="3" customHeight="1">
      <c r="A40" s="76">
        <v>100</v>
      </c>
    </row>
  </sheetData>
  <sheetProtection password="8E6D" sheet="1" objects="1" scenarios="1"/>
  <conditionalFormatting sqref="D17:D18">
    <cfRule type="cellIs" priority="1" dxfId="0" operator="notEqual" stopIfTrue="1">
      <formula>""""""</formula>
    </cfRule>
  </conditionalFormatting>
  <conditionalFormatting sqref="D16:G16">
    <cfRule type="cellIs" priority="2" dxfId="1" operator="equal" stopIfTrue="1">
      <formula>0</formula>
    </cfRule>
  </conditionalFormatting>
  <dataValidations count="1">
    <dataValidation type="whole" allowBlank="1" showInputMessage="1" showErrorMessage="1" errorTitle="                          ERRORE" error="Il valore degli APA deve essere&#10;compreso fra 0 e 7" sqref="C18">
      <formula1>0</formula1>
      <formula2>7</formula2>
    </dataValidation>
  </dataValidations>
  <hyperlinks>
    <hyperlink ref="D16" location="DATI!C23" display="Inserire SI se del settore PdM e l'importo EDR inserito risulta più basso"/>
  </hyperlink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6"/>
  <dimension ref="A1:Q291"/>
  <sheetViews>
    <sheetView workbookViewId="0" topLeftCell="A22">
      <selection activeCell="A22" sqref="A1:IV16384"/>
    </sheetView>
  </sheetViews>
  <sheetFormatPr defaultColWidth="9.140625" defaultRowHeight="0.75" customHeight="1"/>
  <cols>
    <col min="1" max="16384" width="0.13671875" style="93" customWidth="1"/>
  </cols>
  <sheetData>
    <row r="1" spans="1:17" ht="0.75" customHeight="1">
      <c r="A1" s="84" t="s">
        <v>28</v>
      </c>
      <c r="B1" s="85">
        <v>2</v>
      </c>
      <c r="C1" s="86" t="s">
        <v>29</v>
      </c>
      <c r="D1" s="86">
        <v>68.69</v>
      </c>
      <c r="E1" s="87"/>
      <c r="F1" s="88" t="s">
        <v>385</v>
      </c>
      <c r="G1" s="89" t="s">
        <v>390</v>
      </c>
      <c r="H1" s="89" t="s">
        <v>46</v>
      </c>
      <c r="I1" s="90"/>
      <c r="J1" s="91"/>
      <c r="K1" s="91"/>
      <c r="L1" s="92"/>
      <c r="M1" s="92"/>
      <c r="N1" s="92"/>
      <c r="O1" s="92"/>
      <c r="P1" s="92"/>
      <c r="Q1" s="92"/>
    </row>
    <row r="2" spans="1:17" ht="0.75" customHeight="1">
      <c r="A2" s="94"/>
      <c r="B2" s="85"/>
      <c r="C2" s="86" t="s">
        <v>31</v>
      </c>
      <c r="D2" s="95"/>
      <c r="E2" s="96"/>
      <c r="F2" s="96">
        <v>0</v>
      </c>
      <c r="G2" s="97">
        <v>0</v>
      </c>
      <c r="H2" s="98">
        <v>0</v>
      </c>
      <c r="I2" s="90">
        <f>I3-1</f>
        <v>4</v>
      </c>
      <c r="J2" s="91"/>
      <c r="K2" s="91"/>
      <c r="L2" s="92"/>
      <c r="M2" s="92"/>
      <c r="N2" s="92"/>
      <c r="O2" s="92"/>
      <c r="P2" s="92"/>
      <c r="Q2" s="92"/>
    </row>
    <row r="3" spans="1:17" ht="0.75" customHeight="1">
      <c r="A3" s="99"/>
      <c r="B3" s="95"/>
      <c r="C3" s="95"/>
      <c r="D3" s="95"/>
      <c r="E3" s="100"/>
      <c r="F3" s="98" t="s">
        <v>392</v>
      </c>
      <c r="G3" s="101">
        <v>47.19</v>
      </c>
      <c r="H3" s="98">
        <v>1</v>
      </c>
      <c r="I3" s="90">
        <v>5</v>
      </c>
      <c r="J3" s="91"/>
      <c r="K3" s="91"/>
      <c r="L3" s="92">
        <f>link!I3</f>
        <v>5</v>
      </c>
      <c r="M3" s="92"/>
      <c r="N3" s="92"/>
      <c r="O3" s="92"/>
      <c r="P3" s="92"/>
      <c r="Q3" s="92"/>
    </row>
    <row r="4" spans="1:17" ht="0.75" customHeight="1">
      <c r="A4" s="99" t="s">
        <v>32</v>
      </c>
      <c r="B4" s="95">
        <v>1</v>
      </c>
      <c r="C4" s="95" t="s">
        <v>355</v>
      </c>
      <c r="D4" s="95"/>
      <c r="E4" s="100"/>
      <c r="F4" s="98" t="s">
        <v>393</v>
      </c>
      <c r="G4" s="101">
        <v>38.27</v>
      </c>
      <c r="H4" s="98">
        <v>2</v>
      </c>
      <c r="I4" s="90"/>
      <c r="J4" s="91"/>
      <c r="K4" s="91"/>
      <c r="L4" s="92"/>
      <c r="M4" s="92"/>
      <c r="N4" s="92"/>
      <c r="O4" s="92"/>
      <c r="P4" s="92"/>
      <c r="Q4" s="92"/>
    </row>
    <row r="5" spans="1:17" ht="0.75" customHeight="1">
      <c r="A5" s="99"/>
      <c r="B5" s="95"/>
      <c r="C5" s="95" t="s">
        <v>33</v>
      </c>
      <c r="D5" s="95"/>
      <c r="E5" s="100"/>
      <c r="F5" s="98" t="s">
        <v>394</v>
      </c>
      <c r="G5" s="101">
        <v>35.95</v>
      </c>
      <c r="H5" s="98">
        <v>3</v>
      </c>
      <c r="I5" s="102" t="s">
        <v>395</v>
      </c>
      <c r="J5" s="91"/>
      <c r="K5" s="91"/>
      <c r="L5" s="92"/>
      <c r="M5" s="92"/>
      <c r="N5" s="92"/>
      <c r="O5" s="92"/>
      <c r="P5" s="92"/>
      <c r="Q5" s="92"/>
    </row>
    <row r="6" spans="1:17" ht="0.75" customHeight="1">
      <c r="A6" s="99"/>
      <c r="B6" s="95"/>
      <c r="C6" s="95"/>
      <c r="D6" s="95"/>
      <c r="E6" s="100"/>
      <c r="F6" s="98" t="s">
        <v>396</v>
      </c>
      <c r="G6" s="101">
        <v>33.62</v>
      </c>
      <c r="H6" s="98">
        <v>4</v>
      </c>
      <c r="I6" s="101">
        <f>VLOOKUP(link!C22,F3:G13,2)*I2</f>
        <v>188.76</v>
      </c>
      <c r="J6" s="91"/>
      <c r="K6" s="91"/>
      <c r="L6" s="92"/>
      <c r="M6" s="92"/>
      <c r="N6" s="92"/>
      <c r="O6" s="92"/>
      <c r="P6" s="92"/>
      <c r="Q6" s="92"/>
    </row>
    <row r="7" spans="1:17" ht="0.75" customHeight="1">
      <c r="A7" s="99" t="s">
        <v>34</v>
      </c>
      <c r="B7" s="95">
        <v>2</v>
      </c>
      <c r="C7" s="95" t="s">
        <v>29</v>
      </c>
      <c r="D7" s="95"/>
      <c r="E7" s="100"/>
      <c r="F7" s="98" t="s">
        <v>397</v>
      </c>
      <c r="G7" s="101">
        <v>31.77</v>
      </c>
      <c r="H7" s="98">
        <v>5</v>
      </c>
      <c r="I7" s="90"/>
      <c r="J7" s="91"/>
      <c r="K7" s="91"/>
      <c r="L7" s="92"/>
      <c r="M7" s="92"/>
      <c r="N7" s="92"/>
      <c r="O7" s="92"/>
      <c r="P7" s="92"/>
      <c r="Q7" s="92"/>
    </row>
    <row r="8" spans="1:17" ht="0.75" customHeight="1">
      <c r="A8" s="99"/>
      <c r="B8" s="95"/>
      <c r="C8" s="95" t="s">
        <v>31</v>
      </c>
      <c r="D8" s="95"/>
      <c r="E8" s="100"/>
      <c r="F8" s="98" t="s">
        <v>398</v>
      </c>
      <c r="G8" s="101">
        <v>29.91</v>
      </c>
      <c r="H8" s="98">
        <v>6</v>
      </c>
      <c r="I8" s="90"/>
      <c r="J8" s="91"/>
      <c r="K8" s="91"/>
      <c r="L8" s="92"/>
      <c r="M8" s="92"/>
      <c r="N8" s="92"/>
      <c r="O8" s="92"/>
      <c r="P8" s="92"/>
      <c r="Q8" s="92"/>
    </row>
    <row r="9" spans="2:17" ht="0.75" customHeight="1">
      <c r="B9" s="95"/>
      <c r="C9" s="95"/>
      <c r="D9" s="95"/>
      <c r="E9" s="100"/>
      <c r="F9" s="98" t="s">
        <v>399</v>
      </c>
      <c r="G9" s="101">
        <v>28.42</v>
      </c>
      <c r="H9" s="98">
        <v>7</v>
      </c>
      <c r="I9" s="90"/>
      <c r="J9" s="91"/>
      <c r="K9" s="91"/>
      <c r="L9" s="92"/>
      <c r="M9" s="92"/>
      <c r="N9" s="92"/>
      <c r="O9" s="92"/>
      <c r="P9" s="92"/>
      <c r="Q9" s="92"/>
    </row>
    <row r="10" spans="1:17" ht="0.75" customHeight="1">
      <c r="A10" s="99" t="s">
        <v>37</v>
      </c>
      <c r="B10" s="95">
        <v>2</v>
      </c>
      <c r="C10" s="95" t="s">
        <v>29</v>
      </c>
      <c r="D10" s="95"/>
      <c r="E10" s="100"/>
      <c r="F10" s="98" t="s">
        <v>400</v>
      </c>
      <c r="G10" s="101">
        <v>25.64</v>
      </c>
      <c r="H10" s="98"/>
      <c r="I10" s="90"/>
      <c r="J10" s="91"/>
      <c r="K10" s="91"/>
      <c r="L10" s="92"/>
      <c r="M10" s="92"/>
      <c r="N10" s="92"/>
      <c r="O10" s="92"/>
      <c r="P10" s="92"/>
      <c r="Q10" s="92"/>
    </row>
    <row r="11" spans="2:17" ht="0.75" customHeight="1">
      <c r="B11" s="95"/>
      <c r="C11" s="95" t="s">
        <v>31</v>
      </c>
      <c r="D11" s="95"/>
      <c r="E11" s="100"/>
      <c r="F11" s="98" t="s">
        <v>401</v>
      </c>
      <c r="G11" s="101">
        <v>24.34</v>
      </c>
      <c r="H11" s="98"/>
      <c r="I11" s="90"/>
      <c r="J11" s="91"/>
      <c r="K11" s="91"/>
      <c r="L11" s="92"/>
      <c r="M11" s="92"/>
      <c r="N11" s="92"/>
      <c r="O11" s="92"/>
      <c r="P11" s="92"/>
      <c r="Q11" s="92"/>
    </row>
    <row r="12" spans="2:17" ht="0.75" customHeight="1">
      <c r="B12" s="95"/>
      <c r="C12" s="95"/>
      <c r="D12" s="92"/>
      <c r="E12" s="100"/>
      <c r="F12" s="98" t="s">
        <v>402</v>
      </c>
      <c r="G12" s="101">
        <v>22.66</v>
      </c>
      <c r="H12" s="90"/>
      <c r="I12" s="90"/>
      <c r="J12" s="91"/>
      <c r="K12" s="91"/>
      <c r="L12" s="92"/>
      <c r="M12" s="92"/>
      <c r="N12" s="92"/>
      <c r="O12" s="92"/>
      <c r="P12" s="92"/>
      <c r="Q12" s="92"/>
    </row>
    <row r="13" spans="1:17" ht="0.75" customHeight="1">
      <c r="A13" s="99" t="s">
        <v>38</v>
      </c>
      <c r="B13" s="95">
        <v>2</v>
      </c>
      <c r="C13" s="95" t="s">
        <v>29</v>
      </c>
      <c r="D13" s="92"/>
      <c r="E13" s="100"/>
      <c r="F13" s="98" t="s">
        <v>403</v>
      </c>
      <c r="G13" s="101">
        <v>18.58</v>
      </c>
      <c r="H13" s="90"/>
      <c r="I13" s="90"/>
      <c r="J13" s="91"/>
      <c r="K13" s="91"/>
      <c r="L13" s="92"/>
      <c r="M13" s="92"/>
      <c r="N13" s="92"/>
      <c r="O13" s="92"/>
      <c r="P13" s="92"/>
      <c r="Q13" s="92"/>
    </row>
    <row r="14" spans="1:17" ht="0.75" customHeight="1">
      <c r="A14" s="99"/>
      <c r="B14" s="95"/>
      <c r="C14" s="95" t="s">
        <v>31</v>
      </c>
      <c r="D14" s="95"/>
      <c r="E14" s="95"/>
      <c r="F14" s="95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7" ht="0.75" customHeight="1">
      <c r="A15" s="99"/>
      <c r="B15" s="95"/>
      <c r="C15" s="95"/>
      <c r="D15" s="95"/>
      <c r="E15" s="95"/>
      <c r="F15" s="95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7" ht="0.75" customHeight="1">
      <c r="A16" s="99" t="s">
        <v>354</v>
      </c>
      <c r="B16" s="95">
        <v>2</v>
      </c>
      <c r="C16" s="95" t="s">
        <v>29</v>
      </c>
      <c r="D16" s="95"/>
      <c r="E16" s="95"/>
      <c r="F16" s="95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7" ht="0.75" customHeight="1">
      <c r="A17" s="99"/>
      <c r="B17" s="95"/>
      <c r="C17" s="95" t="s">
        <v>31</v>
      </c>
      <c r="D17" s="95"/>
      <c r="E17" s="95"/>
      <c r="F17" s="95"/>
      <c r="G17" s="92"/>
      <c r="H17" s="92"/>
      <c r="I17" s="103"/>
      <c r="J17" s="92"/>
      <c r="K17" s="92"/>
      <c r="L17" s="92"/>
      <c r="M17" s="92"/>
      <c r="N17" s="92"/>
      <c r="O17" s="92"/>
      <c r="P17" s="92"/>
      <c r="Q17" s="92"/>
    </row>
    <row r="18" spans="1:17" ht="0.75" customHeight="1">
      <c r="A18" s="99"/>
      <c r="B18" s="95"/>
      <c r="C18" s="95"/>
      <c r="D18" s="95"/>
      <c r="E18" s="95"/>
      <c r="F18" s="95"/>
      <c r="G18" s="92"/>
      <c r="H18" s="92"/>
      <c r="I18" s="103" t="s">
        <v>342</v>
      </c>
      <c r="J18" s="92"/>
      <c r="K18" s="92"/>
      <c r="L18" s="92"/>
      <c r="M18" s="92"/>
      <c r="N18" s="92"/>
      <c r="O18" s="92"/>
      <c r="P18" s="92"/>
      <c r="Q18" s="92"/>
    </row>
    <row r="19" spans="1:17" ht="0.75" customHeight="1">
      <c r="A19" s="99" t="s">
        <v>39</v>
      </c>
      <c r="B19" s="95">
        <v>2</v>
      </c>
      <c r="C19" s="95" t="s">
        <v>29</v>
      </c>
      <c r="D19" s="95"/>
      <c r="E19" s="95"/>
      <c r="F19" s="95"/>
      <c r="G19" s="92"/>
      <c r="H19" s="92"/>
      <c r="I19" s="103">
        <f>F36-F37</f>
        <v>39293</v>
      </c>
      <c r="J19" s="92">
        <f>IF(I19&gt;365,12,MONTH(I19))</f>
        <v>12</v>
      </c>
      <c r="K19" s="92"/>
      <c r="L19" s="92"/>
      <c r="M19" s="92"/>
      <c r="N19" s="92"/>
      <c r="O19" s="92"/>
      <c r="P19" s="92"/>
      <c r="Q19" s="92"/>
    </row>
    <row r="20" spans="1:17" ht="0.75" customHeight="1">
      <c r="A20" s="99"/>
      <c r="B20" s="95"/>
      <c r="C20" s="95" t="s">
        <v>31</v>
      </c>
      <c r="D20" s="95"/>
      <c r="E20" s="95"/>
      <c r="F20" s="95"/>
      <c r="G20" s="92"/>
      <c r="H20" s="92"/>
      <c r="I20" s="103">
        <f>IF(I19&gt;365,I19-365,0)</f>
        <v>38928</v>
      </c>
      <c r="J20" s="92">
        <f>IF(I20&gt;1,MONTH(I20),0)</f>
        <v>7</v>
      </c>
      <c r="K20" s="92"/>
      <c r="L20" s="92"/>
      <c r="M20" s="92"/>
      <c r="N20" s="92"/>
      <c r="O20" s="92"/>
      <c r="P20" s="92"/>
      <c r="Q20" s="92"/>
    </row>
    <row r="21" spans="1:17" ht="0.75" customHeight="1">
      <c r="A21" s="99"/>
      <c r="B21" s="95"/>
      <c r="C21" s="95"/>
      <c r="D21" s="95"/>
      <c r="E21" s="95"/>
      <c r="F21" s="95"/>
      <c r="G21" s="92"/>
      <c r="H21" s="92"/>
      <c r="I21" s="103"/>
      <c r="J21" s="92">
        <f>SUM(J19:J20)</f>
        <v>19</v>
      </c>
      <c r="K21" s="92"/>
      <c r="L21" s="92"/>
      <c r="M21" s="92"/>
      <c r="N21" s="92"/>
      <c r="O21" s="92"/>
      <c r="P21" s="92"/>
      <c r="Q21" s="92"/>
    </row>
    <row r="22" spans="1:17" ht="0.75" customHeight="1">
      <c r="A22" s="93" t="s">
        <v>40</v>
      </c>
      <c r="B22" s="95"/>
      <c r="C22" s="95" t="str">
        <f>VLOOKUP(B24,EDR1!B36:C261,2)</f>
        <v>A</v>
      </c>
      <c r="D22" s="95"/>
      <c r="E22" s="95"/>
      <c r="F22" s="95"/>
      <c r="G22" s="92"/>
      <c r="H22" s="92"/>
      <c r="I22" s="92"/>
      <c r="J22" s="101">
        <f>I6/6*J21/24</f>
        <v>24.90583333333333</v>
      </c>
      <c r="K22" s="92"/>
      <c r="L22" s="92"/>
      <c r="M22" s="92"/>
      <c r="N22" s="92"/>
      <c r="O22" s="92"/>
      <c r="P22" s="92"/>
      <c r="Q22" s="92"/>
    </row>
    <row r="23" spans="2:17" ht="0.75" customHeight="1">
      <c r="B23" s="95"/>
      <c r="C23" s="95"/>
      <c r="D23" s="95"/>
      <c r="E23" s="95"/>
      <c r="F23" s="95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ht="0.75" customHeight="1">
      <c r="A24" s="93" t="s">
        <v>41</v>
      </c>
      <c r="B24" s="95">
        <f>VLOOKUP(Parametri!$E$3&amp;Parametri!$K$2&amp;Parametri!$E$2&amp;Parametri!$K$2&amp;Parametri!$E$4,EDR1!$A$36:$B$267,2,FALSE)</f>
        <v>9</v>
      </c>
      <c r="C24" s="92"/>
      <c r="D24" s="95"/>
      <c r="E24" s="95"/>
      <c r="F24" s="95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2:17" ht="0.75" customHeight="1">
      <c r="B25" s="95">
        <f>VLOOKUP(Parametri!$E$3&amp;Parametri!$K$2&amp;Parametri!$E$2&amp;Parametri!$K$2&amp;Parametri!$E$4,EDR1!$A$36:$B$267,2,FALSE)</f>
        <v>9</v>
      </c>
      <c r="C25" s="92"/>
      <c r="D25" s="95"/>
      <c r="E25" s="95"/>
      <c r="F25" s="95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2:17" ht="0.75" customHeight="1">
      <c r="B26" s="95"/>
      <c r="C26" s="92"/>
      <c r="D26" s="95"/>
      <c r="E26" s="95"/>
      <c r="F26" s="95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2:17" ht="0.75" customHeight="1">
      <c r="B27" s="95"/>
      <c r="C27" s="104"/>
      <c r="D27" s="95"/>
      <c r="E27" s="95"/>
      <c r="F27" s="95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2:17" ht="0.75" customHeight="1">
      <c r="B28" s="92"/>
      <c r="C28" s="104"/>
      <c r="D28" s="92"/>
      <c r="E28" s="92"/>
      <c r="F28" s="95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2:17" ht="0.75" customHeight="1">
      <c r="B29" s="92"/>
      <c r="C29" s="104"/>
      <c r="D29" s="92"/>
      <c r="E29" s="92"/>
      <c r="F29" s="95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2:17" ht="0.75" customHeight="1">
      <c r="B30" s="95"/>
      <c r="C30" s="95"/>
      <c r="D30" s="95"/>
      <c r="E30" s="95"/>
      <c r="F30" s="95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2:17" ht="0.75" customHeight="1">
      <c r="B31" s="95" t="str">
        <f>CONCATENATE(VLOOKUP(B24,EDR1!B35:E267,3)," - ",VLOOKUP(B24,EDR1!B35:E267,4))</f>
        <v>PROFESSIONAL SENIOR  - Capo Settore Stazioni</v>
      </c>
      <c r="C31" s="95"/>
      <c r="D31" s="95"/>
      <c r="E31" s="95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2:17" ht="0.75" customHeight="1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ht="0.75" customHeight="1">
      <c r="A33" s="93" t="s">
        <v>146</v>
      </c>
      <c r="B33" s="92" t="e">
        <f>DAY(F33)</f>
        <v>#REF!</v>
      </c>
      <c r="C33" s="92" t="e">
        <f aca="true" t="shared" si="0" ref="C33:C38">MONTH(F33)</f>
        <v>#REF!</v>
      </c>
      <c r="D33" s="92" t="e">
        <f aca="true" t="shared" si="1" ref="D33:D38">YEAR(F33)</f>
        <v>#REF!</v>
      </c>
      <c r="E33" s="92"/>
      <c r="F33" s="105" t="e">
        <f>DATI!#REF!</f>
        <v>#REF!</v>
      </c>
      <c r="G33" s="92"/>
      <c r="H33" s="92">
        <v>1</v>
      </c>
      <c r="I33" s="92" t="s">
        <v>67</v>
      </c>
      <c r="J33" s="92">
        <v>1</v>
      </c>
      <c r="K33" s="92">
        <v>1940</v>
      </c>
      <c r="L33" s="92">
        <v>1</v>
      </c>
      <c r="M33" s="92">
        <v>1964</v>
      </c>
      <c r="N33" s="92">
        <v>1</v>
      </c>
      <c r="O33" s="92">
        <v>2004</v>
      </c>
      <c r="P33" s="92">
        <v>1</v>
      </c>
      <c r="Q33" s="92">
        <v>1993</v>
      </c>
    </row>
    <row r="34" spans="1:17" ht="0.75" customHeight="1">
      <c r="A34" s="93" t="s">
        <v>332</v>
      </c>
      <c r="B34" s="92" t="e">
        <f>DAY(F34)</f>
        <v>#REF!</v>
      </c>
      <c r="C34" s="92" t="e">
        <f t="shared" si="0"/>
        <v>#REF!</v>
      </c>
      <c r="D34" s="92" t="e">
        <f t="shared" si="1"/>
        <v>#REF!</v>
      </c>
      <c r="E34" s="92"/>
      <c r="F34" s="105" t="e">
        <f>DATI!#REF!</f>
        <v>#REF!</v>
      </c>
      <c r="G34" s="92"/>
      <c r="H34" s="92">
        <v>2</v>
      </c>
      <c r="I34" s="92" t="s">
        <v>68</v>
      </c>
      <c r="J34" s="92">
        <v>2</v>
      </c>
      <c r="K34" s="92">
        <v>1941</v>
      </c>
      <c r="L34" s="92">
        <v>2</v>
      </c>
      <c r="M34" s="92">
        <v>1965</v>
      </c>
      <c r="N34" s="92">
        <v>2</v>
      </c>
      <c r="O34" s="92">
        <v>2005</v>
      </c>
      <c r="P34" s="92">
        <v>2</v>
      </c>
      <c r="Q34" s="92">
        <v>1994</v>
      </c>
    </row>
    <row r="35" spans="1:17" ht="0.75" customHeight="1">
      <c r="A35" s="93" t="s">
        <v>343</v>
      </c>
      <c r="B35" s="92" t="e">
        <f>DAY(F35)</f>
        <v>#REF!</v>
      </c>
      <c r="C35" s="92" t="e">
        <f t="shared" si="0"/>
        <v>#REF!</v>
      </c>
      <c r="D35" s="92" t="e">
        <f t="shared" si="1"/>
        <v>#REF!</v>
      </c>
      <c r="E35" s="92"/>
      <c r="F35" s="105" t="e">
        <f>DATI!#REF!</f>
        <v>#REF!</v>
      </c>
      <c r="G35" s="92"/>
      <c r="H35" s="92">
        <v>3</v>
      </c>
      <c r="I35" s="92" t="s">
        <v>69</v>
      </c>
      <c r="J35" s="92">
        <v>3</v>
      </c>
      <c r="K35" s="92">
        <v>1942</v>
      </c>
      <c r="L35" s="92">
        <v>3</v>
      </c>
      <c r="M35" s="92">
        <v>1966</v>
      </c>
      <c r="N35" s="92">
        <v>3</v>
      </c>
      <c r="O35" s="92">
        <v>2006</v>
      </c>
      <c r="P35" s="92">
        <v>3</v>
      </c>
      <c r="Q35" s="92">
        <v>1995</v>
      </c>
    </row>
    <row r="36" spans="1:17" ht="0.75" customHeight="1">
      <c r="A36" s="93" t="s">
        <v>27</v>
      </c>
      <c r="B36" s="92">
        <f>DAY(F36)</f>
        <v>30</v>
      </c>
      <c r="C36" s="92">
        <f t="shared" si="0"/>
        <v>7</v>
      </c>
      <c r="D36" s="92">
        <f t="shared" si="1"/>
        <v>2007</v>
      </c>
      <c r="E36" s="92"/>
      <c r="F36" s="105">
        <f>DATI!C3</f>
        <v>39293</v>
      </c>
      <c r="G36" s="104">
        <v>38169</v>
      </c>
      <c r="H36" s="92">
        <v>4</v>
      </c>
      <c r="I36" s="92" t="s">
        <v>70</v>
      </c>
      <c r="J36" s="92">
        <v>4</v>
      </c>
      <c r="K36" s="92">
        <v>1943</v>
      </c>
      <c r="L36" s="92">
        <v>4</v>
      </c>
      <c r="M36" s="92">
        <v>1967</v>
      </c>
      <c r="N36" s="92">
        <v>4</v>
      </c>
      <c r="O36" s="92">
        <v>2007</v>
      </c>
      <c r="P36" s="92">
        <v>4</v>
      </c>
      <c r="Q36" s="92">
        <v>1996</v>
      </c>
    </row>
    <row r="37" spans="1:17" ht="0.75" customHeight="1">
      <c r="A37" s="93" t="s">
        <v>140</v>
      </c>
      <c r="B37" s="92">
        <v>1</v>
      </c>
      <c r="C37" s="92">
        <f t="shared" si="0"/>
        <v>1</v>
      </c>
      <c r="D37" s="92">
        <f t="shared" si="1"/>
        <v>1900</v>
      </c>
      <c r="E37" s="92"/>
      <c r="F37" s="105">
        <f>DATI!C19</f>
        <v>0</v>
      </c>
      <c r="G37" s="92"/>
      <c r="H37" s="92">
        <v>5</v>
      </c>
      <c r="I37" s="92" t="s">
        <v>71</v>
      </c>
      <c r="J37" s="92">
        <v>5</v>
      </c>
      <c r="K37" s="92">
        <v>1944</v>
      </c>
      <c r="L37" s="92">
        <v>5</v>
      </c>
      <c r="M37" s="92">
        <v>1968</v>
      </c>
      <c r="N37" s="92">
        <v>5</v>
      </c>
      <c r="O37" s="92">
        <v>2008</v>
      </c>
      <c r="P37" s="92">
        <v>5</v>
      </c>
      <c r="Q37" s="92">
        <v>1997</v>
      </c>
    </row>
    <row r="38" spans="1:17" ht="0.75" customHeight="1">
      <c r="A38" s="93" t="s">
        <v>103</v>
      </c>
      <c r="B38" s="92">
        <v>2</v>
      </c>
      <c r="C38" s="92">
        <f t="shared" si="0"/>
        <v>7</v>
      </c>
      <c r="D38" s="92">
        <f t="shared" si="1"/>
        <v>2007</v>
      </c>
      <c r="E38" s="92"/>
      <c r="F38" s="104">
        <f>F36+1</f>
        <v>39294</v>
      </c>
      <c r="G38" s="92"/>
      <c r="H38" s="92">
        <v>6</v>
      </c>
      <c r="I38" s="92" t="s">
        <v>72</v>
      </c>
      <c r="J38" s="92">
        <v>6</v>
      </c>
      <c r="K38" s="92">
        <v>1945</v>
      </c>
      <c r="L38" s="92">
        <v>6</v>
      </c>
      <c r="M38" s="92">
        <v>1969</v>
      </c>
      <c r="N38" s="92"/>
      <c r="O38" s="92"/>
      <c r="P38" s="92">
        <v>6</v>
      </c>
      <c r="Q38" s="92">
        <v>1998</v>
      </c>
    </row>
    <row r="39" spans="2:17" ht="0.75" customHeight="1">
      <c r="B39" s="92"/>
      <c r="C39" s="92"/>
      <c r="D39" s="92"/>
      <c r="E39" s="92"/>
      <c r="F39" s="104"/>
      <c r="G39" s="104">
        <v>38168</v>
      </c>
      <c r="H39" s="92">
        <v>7</v>
      </c>
      <c r="I39" s="92" t="s">
        <v>73</v>
      </c>
      <c r="J39" s="92">
        <v>7</v>
      </c>
      <c r="K39" s="92">
        <v>1946</v>
      </c>
      <c r="L39" s="92">
        <v>7</v>
      </c>
      <c r="M39" s="92">
        <v>1970</v>
      </c>
      <c r="N39" s="92">
        <v>1</v>
      </c>
      <c r="O39" s="92">
        <v>2001</v>
      </c>
      <c r="P39" s="92">
        <v>7</v>
      </c>
      <c r="Q39" s="92">
        <v>1999</v>
      </c>
    </row>
    <row r="40" spans="2:17" ht="0.75" customHeight="1">
      <c r="B40" s="92">
        <f>IF(AND(OR(C36=1,C36=3,C36=5,C36=7,C36=8,C36=10,C36=12),B36=31),31,1)</f>
        <v>1</v>
      </c>
      <c r="C40" s="92" t="s">
        <v>120</v>
      </c>
      <c r="D40" s="92"/>
      <c r="E40" s="92">
        <f>IF(OR(B40=31,B41=30,B42=29,B43=28),0,1)</f>
        <v>1</v>
      </c>
      <c r="F40" s="92"/>
      <c r="G40" s="104">
        <v>38595</v>
      </c>
      <c r="H40" s="92">
        <v>8</v>
      </c>
      <c r="I40" s="92" t="s">
        <v>74</v>
      </c>
      <c r="J40" s="92">
        <v>8</v>
      </c>
      <c r="K40" s="92">
        <v>1947</v>
      </c>
      <c r="L40" s="92">
        <v>8</v>
      </c>
      <c r="M40" s="92">
        <v>1971</v>
      </c>
      <c r="N40" s="92">
        <v>2</v>
      </c>
      <c r="O40" s="92">
        <v>2002</v>
      </c>
      <c r="P40" s="92">
        <v>8</v>
      </c>
      <c r="Q40" s="92">
        <v>2000</v>
      </c>
    </row>
    <row r="41" spans="2:17" ht="0.75" customHeight="1">
      <c r="B41" s="92">
        <f>IF(AND(OR(C36=4,C36=6,C36=9,C36=11),B36=30),30,2)</f>
        <v>2</v>
      </c>
      <c r="C41" s="92" t="s">
        <v>121</v>
      </c>
      <c r="D41" s="92"/>
      <c r="E41" s="92"/>
      <c r="F41" s="92"/>
      <c r="G41" s="104">
        <v>38717</v>
      </c>
      <c r="H41" s="92">
        <v>9</v>
      </c>
      <c r="I41" s="92" t="s">
        <v>75</v>
      </c>
      <c r="J41" s="92">
        <v>9</v>
      </c>
      <c r="K41" s="92">
        <v>1948</v>
      </c>
      <c r="L41" s="92">
        <v>9</v>
      </c>
      <c r="M41" s="92">
        <v>1972</v>
      </c>
      <c r="N41" s="92">
        <v>3</v>
      </c>
      <c r="O41" s="92">
        <v>2003</v>
      </c>
      <c r="P41" s="92">
        <v>9</v>
      </c>
      <c r="Q41" s="92">
        <v>2001</v>
      </c>
    </row>
    <row r="42" spans="2:17" ht="0.75" customHeight="1">
      <c r="B42" s="92">
        <f>IF(AND(OR(D36=2004,D36=2008,C36=2012),B36=29,C36=2),29,3)</f>
        <v>3</v>
      </c>
      <c r="C42" s="92" t="s">
        <v>122</v>
      </c>
      <c r="D42" s="92"/>
      <c r="E42" s="92"/>
      <c r="F42" s="92"/>
      <c r="G42" s="104">
        <v>38960</v>
      </c>
      <c r="H42" s="92">
        <v>10</v>
      </c>
      <c r="I42" s="92" t="s">
        <v>76</v>
      </c>
      <c r="J42" s="92">
        <v>10</v>
      </c>
      <c r="K42" s="92">
        <v>1949</v>
      </c>
      <c r="L42" s="92">
        <v>10</v>
      </c>
      <c r="M42" s="92">
        <v>1973</v>
      </c>
      <c r="N42" s="92">
        <v>4</v>
      </c>
      <c r="O42" s="92">
        <v>2004</v>
      </c>
      <c r="P42" s="92">
        <v>10</v>
      </c>
      <c r="Q42" s="92">
        <v>2002</v>
      </c>
    </row>
    <row r="43" spans="2:17" ht="0.75" customHeight="1">
      <c r="B43" s="92">
        <f>IF(AND(C36=2,B36=28,D36&lt;&gt;2005),28,4)</f>
        <v>4</v>
      </c>
      <c r="C43" s="92" t="s">
        <v>123</v>
      </c>
      <c r="D43" s="92"/>
      <c r="E43" s="92"/>
      <c r="F43" s="92"/>
      <c r="G43" s="92"/>
      <c r="H43" s="92">
        <v>11</v>
      </c>
      <c r="I43" s="92" t="s">
        <v>77</v>
      </c>
      <c r="J43" s="92">
        <v>11</v>
      </c>
      <c r="K43" s="92">
        <v>1950</v>
      </c>
      <c r="L43" s="92">
        <v>11</v>
      </c>
      <c r="M43" s="92">
        <v>1974</v>
      </c>
      <c r="N43" s="92">
        <v>5</v>
      </c>
      <c r="O43" s="92">
        <v>2005</v>
      </c>
      <c r="P43" s="92">
        <v>11</v>
      </c>
      <c r="Q43" s="92">
        <v>2003</v>
      </c>
    </row>
    <row r="44" spans="2:17" ht="0.75" customHeight="1">
      <c r="B44" s="92">
        <f>IF(B40+B41+B42+B43=10,1,2)</f>
        <v>1</v>
      </c>
      <c r="C44" s="92"/>
      <c r="D44" s="92"/>
      <c r="E44" s="92"/>
      <c r="F44" s="92">
        <f>IF(F49&gt;G48,1,2)</f>
        <v>2</v>
      </c>
      <c r="G44" s="92"/>
      <c r="H44" s="92">
        <v>12</v>
      </c>
      <c r="I44" s="92" t="s">
        <v>78</v>
      </c>
      <c r="J44" s="92">
        <v>12</v>
      </c>
      <c r="K44" s="92">
        <v>1951</v>
      </c>
      <c r="L44" s="92">
        <v>12</v>
      </c>
      <c r="M44" s="92">
        <v>1975</v>
      </c>
      <c r="N44" s="92">
        <v>6</v>
      </c>
      <c r="O44" s="92">
        <v>2006</v>
      </c>
      <c r="P44" s="92">
        <v>12</v>
      </c>
      <c r="Q44" s="92">
        <v>2004</v>
      </c>
    </row>
    <row r="45" spans="2:17" ht="0.75" customHeight="1">
      <c r="B45" s="92"/>
      <c r="C45" s="92"/>
      <c r="D45" s="92"/>
      <c r="E45" s="92"/>
      <c r="F45" s="92"/>
      <c r="G45" s="92"/>
      <c r="H45" s="92"/>
      <c r="I45" s="92"/>
      <c r="J45" s="92">
        <v>13</v>
      </c>
      <c r="K45" s="92">
        <v>1952</v>
      </c>
      <c r="L45" s="92">
        <v>13</v>
      </c>
      <c r="M45" s="92">
        <v>1976</v>
      </c>
      <c r="N45" s="92"/>
      <c r="O45" s="92"/>
      <c r="P45" s="92">
        <v>13</v>
      </c>
      <c r="Q45" s="92">
        <v>2005</v>
      </c>
    </row>
    <row r="46" spans="2:17" ht="0.75" customHeight="1">
      <c r="B46" s="92"/>
      <c r="C46" s="92"/>
      <c r="D46" s="92"/>
      <c r="E46" s="92" t="s">
        <v>115</v>
      </c>
      <c r="F46" s="104">
        <v>37833</v>
      </c>
      <c r="G46" s="103">
        <v>37833</v>
      </c>
      <c r="H46" s="92"/>
      <c r="I46" s="92"/>
      <c r="J46" s="92">
        <v>14</v>
      </c>
      <c r="K46" s="92">
        <v>1953</v>
      </c>
      <c r="L46" s="92"/>
      <c r="M46" s="92"/>
      <c r="N46" s="92"/>
      <c r="O46" s="92"/>
      <c r="P46" s="92"/>
      <c r="Q46" s="92"/>
    </row>
    <row r="47" spans="2:17" ht="0.75" customHeight="1">
      <c r="B47" s="92"/>
      <c r="C47" s="92"/>
      <c r="D47" s="92"/>
      <c r="E47" s="92" t="s">
        <v>116</v>
      </c>
      <c r="F47" s="104">
        <v>37727</v>
      </c>
      <c r="G47" s="103">
        <v>37727</v>
      </c>
      <c r="H47" s="92"/>
      <c r="I47" s="92"/>
      <c r="J47" s="92">
        <v>15</v>
      </c>
      <c r="K47" s="92">
        <v>1954</v>
      </c>
      <c r="L47" s="92"/>
      <c r="M47" s="92"/>
      <c r="N47" s="92"/>
      <c r="O47" s="92"/>
      <c r="P47" s="92"/>
      <c r="Q47" s="92"/>
    </row>
    <row r="48" spans="2:17" ht="0.75" customHeight="1">
      <c r="B48" s="92"/>
      <c r="C48" s="92" t="s">
        <v>102</v>
      </c>
      <c r="D48" s="92"/>
      <c r="E48" s="92"/>
      <c r="F48" s="104">
        <v>38352</v>
      </c>
      <c r="G48" s="103">
        <v>38352</v>
      </c>
      <c r="H48" s="92"/>
      <c r="I48" s="92"/>
      <c r="J48" s="92">
        <v>16</v>
      </c>
      <c r="K48" s="92">
        <v>1955</v>
      </c>
      <c r="L48" s="92"/>
      <c r="M48" s="92"/>
      <c r="N48" s="92"/>
      <c r="O48" s="92"/>
      <c r="P48" s="92"/>
      <c r="Q48" s="92"/>
    </row>
    <row r="49" spans="2:17" ht="0.75" customHeight="1">
      <c r="B49" s="92"/>
      <c r="C49" s="92"/>
      <c r="D49" s="92"/>
      <c r="E49" s="92"/>
      <c r="F49" s="104"/>
      <c r="G49" s="92"/>
      <c r="H49" s="92"/>
      <c r="I49" s="92"/>
      <c r="J49" s="92">
        <v>17</v>
      </c>
      <c r="K49" s="92">
        <v>1956</v>
      </c>
      <c r="L49" s="92"/>
      <c r="M49" s="92"/>
      <c r="N49" s="92"/>
      <c r="O49" s="92"/>
      <c r="P49" s="92"/>
      <c r="Q49" s="92"/>
    </row>
    <row r="50" spans="2:17" ht="0.75" customHeight="1">
      <c r="B50" s="92"/>
      <c r="C50" s="92"/>
      <c r="D50" s="92"/>
      <c r="E50" s="92"/>
      <c r="F50" s="92"/>
      <c r="G50" s="92"/>
      <c r="H50" s="92"/>
      <c r="I50" s="92"/>
      <c r="J50" s="92">
        <v>18</v>
      </c>
      <c r="K50" s="92">
        <v>1957</v>
      </c>
      <c r="L50" s="92"/>
      <c r="M50" s="92"/>
      <c r="N50" s="92"/>
      <c r="O50" s="92"/>
      <c r="P50" s="92"/>
      <c r="Q50" s="92"/>
    </row>
    <row r="51" spans="2:17" ht="0.75" customHeight="1">
      <c r="B51" s="92"/>
      <c r="C51" s="92"/>
      <c r="D51" s="92"/>
      <c r="E51" s="92"/>
      <c r="F51" s="92"/>
      <c r="G51" s="92"/>
      <c r="H51" s="92"/>
      <c r="I51" s="92"/>
      <c r="J51" s="92">
        <v>19</v>
      </c>
      <c r="K51" s="92">
        <v>1958</v>
      </c>
      <c r="L51" s="92"/>
      <c r="M51" s="92"/>
      <c r="N51" s="92"/>
      <c r="O51" s="92"/>
      <c r="P51" s="92"/>
      <c r="Q51" s="92"/>
    </row>
    <row r="52" spans="2:17" ht="0.75" customHeight="1">
      <c r="B52" s="92"/>
      <c r="C52" s="92"/>
      <c r="D52" s="92"/>
      <c r="E52" s="92"/>
      <c r="F52" s="92"/>
      <c r="G52" s="92"/>
      <c r="H52" s="92"/>
      <c r="I52" s="92"/>
      <c r="J52" s="92">
        <v>20</v>
      </c>
      <c r="K52" s="92">
        <v>1959</v>
      </c>
      <c r="L52" s="92"/>
      <c r="M52" s="92"/>
      <c r="N52" s="92"/>
      <c r="O52" s="92"/>
      <c r="P52" s="92"/>
      <c r="Q52" s="92"/>
    </row>
    <row r="53" spans="2:17" ht="0.75" customHeight="1">
      <c r="B53" s="92"/>
      <c r="C53" s="92"/>
      <c r="D53" s="92"/>
      <c r="E53" s="92"/>
      <c r="F53" s="92"/>
      <c r="G53" s="92"/>
      <c r="H53" s="92"/>
      <c r="I53" s="92"/>
      <c r="J53" s="92">
        <v>21</v>
      </c>
      <c r="K53" s="92">
        <v>1960</v>
      </c>
      <c r="L53" s="92"/>
      <c r="M53" s="92"/>
      <c r="N53" s="92"/>
      <c r="O53" s="92"/>
      <c r="P53" s="92"/>
      <c r="Q53" s="92"/>
    </row>
    <row r="54" spans="2:17" ht="0.75" customHeight="1">
      <c r="B54" s="92"/>
      <c r="C54" s="92"/>
      <c r="D54" s="92"/>
      <c r="E54" s="92"/>
      <c r="F54" s="92"/>
      <c r="G54" s="92"/>
      <c r="H54" s="92"/>
      <c r="I54" s="92"/>
      <c r="J54" s="92">
        <v>22</v>
      </c>
      <c r="K54" s="92">
        <v>1961</v>
      </c>
      <c r="L54" s="92"/>
      <c r="M54" s="92"/>
      <c r="N54" s="92"/>
      <c r="O54" s="92"/>
      <c r="P54" s="92"/>
      <c r="Q54" s="92"/>
    </row>
    <row r="55" spans="2:17" ht="0.75" customHeight="1">
      <c r="B55" s="92"/>
      <c r="C55" s="92"/>
      <c r="D55" s="92"/>
      <c r="E55" s="92"/>
      <c r="F55" s="92"/>
      <c r="G55" s="92"/>
      <c r="H55" s="92"/>
      <c r="I55" s="92"/>
      <c r="J55" s="92">
        <v>23</v>
      </c>
      <c r="K55" s="92">
        <v>1962</v>
      </c>
      <c r="L55" s="92"/>
      <c r="M55" s="92"/>
      <c r="N55" s="92"/>
      <c r="O55" s="92"/>
      <c r="P55" s="92"/>
      <c r="Q55" s="92"/>
    </row>
    <row r="56" spans="2:17" ht="0.75" customHeight="1">
      <c r="B56" s="92"/>
      <c r="C56" s="92"/>
      <c r="D56" s="92"/>
      <c r="E56" s="92"/>
      <c r="F56" s="92"/>
      <c r="G56" s="92"/>
      <c r="H56" s="92"/>
      <c r="I56" s="92"/>
      <c r="J56" s="92">
        <v>24</v>
      </c>
      <c r="K56" s="92">
        <v>1963</v>
      </c>
      <c r="L56" s="92"/>
      <c r="M56" s="92"/>
      <c r="N56" s="92"/>
      <c r="O56" s="92"/>
      <c r="P56" s="92"/>
      <c r="Q56" s="92"/>
    </row>
    <row r="57" spans="2:17" ht="0.75" customHeight="1">
      <c r="B57" s="92"/>
      <c r="C57" s="92"/>
      <c r="D57" s="92"/>
      <c r="E57" s="92"/>
      <c r="F57" s="92"/>
      <c r="G57" s="92"/>
      <c r="H57" s="92"/>
      <c r="I57" s="92"/>
      <c r="J57" s="92">
        <v>25</v>
      </c>
      <c r="K57" s="92">
        <v>1964</v>
      </c>
      <c r="L57" s="92"/>
      <c r="M57" s="92"/>
      <c r="N57" s="92"/>
      <c r="O57" s="92"/>
      <c r="P57" s="92"/>
      <c r="Q57" s="92"/>
    </row>
    <row r="58" spans="2:17" ht="0.75" customHeight="1">
      <c r="B58" s="92"/>
      <c r="C58" s="92"/>
      <c r="D58" s="92"/>
      <c r="E58" s="92"/>
      <c r="F58" s="92"/>
      <c r="G58" s="92"/>
      <c r="H58" s="92"/>
      <c r="I58" s="92"/>
      <c r="J58" s="92">
        <v>26</v>
      </c>
      <c r="K58" s="92">
        <v>1965</v>
      </c>
      <c r="L58" s="92"/>
      <c r="M58" s="92"/>
      <c r="N58" s="92"/>
      <c r="O58" s="92"/>
      <c r="P58" s="92"/>
      <c r="Q58" s="92"/>
    </row>
    <row r="59" spans="2:17" ht="0.75" customHeight="1">
      <c r="B59" s="92"/>
      <c r="C59" s="92"/>
      <c r="D59" s="92"/>
      <c r="E59" s="92"/>
      <c r="F59" s="92"/>
      <c r="G59" s="92"/>
      <c r="H59" s="92"/>
      <c r="I59" s="92"/>
      <c r="J59" s="92">
        <v>27</v>
      </c>
      <c r="K59" s="92">
        <v>1966</v>
      </c>
      <c r="L59" s="92"/>
      <c r="M59" s="92"/>
      <c r="N59" s="92"/>
      <c r="O59" s="92"/>
      <c r="P59" s="92"/>
      <c r="Q59" s="92"/>
    </row>
    <row r="60" spans="2:17" ht="0.75" customHeight="1">
      <c r="B60" s="92"/>
      <c r="C60" s="92"/>
      <c r="D60" s="92"/>
      <c r="E60" s="92"/>
      <c r="F60" s="92"/>
      <c r="G60" s="92"/>
      <c r="H60" s="92"/>
      <c r="I60" s="92"/>
      <c r="J60" s="92">
        <v>28</v>
      </c>
      <c r="K60" s="92">
        <v>1967</v>
      </c>
      <c r="L60" s="92"/>
      <c r="M60" s="92"/>
      <c r="N60" s="92"/>
      <c r="O60" s="92"/>
      <c r="P60" s="92"/>
      <c r="Q60" s="92"/>
    </row>
    <row r="61" spans="2:17" ht="0.75" customHeight="1">
      <c r="B61" s="92"/>
      <c r="C61" s="92"/>
      <c r="D61" s="92"/>
      <c r="E61" s="92"/>
      <c r="F61" s="92"/>
      <c r="G61" s="92"/>
      <c r="H61" s="92"/>
      <c r="I61" s="92"/>
      <c r="J61" s="92">
        <v>29</v>
      </c>
      <c r="K61" s="92">
        <v>1968</v>
      </c>
      <c r="L61" s="92"/>
      <c r="M61" s="92"/>
      <c r="N61" s="92"/>
      <c r="O61" s="92"/>
      <c r="P61" s="92"/>
      <c r="Q61" s="92"/>
    </row>
    <row r="62" spans="2:17" ht="0.75" customHeight="1">
      <c r="B62" s="92"/>
      <c r="C62" s="92"/>
      <c r="D62" s="92"/>
      <c r="E62" s="92"/>
      <c r="F62" s="92"/>
      <c r="G62" s="92"/>
      <c r="H62" s="92"/>
      <c r="I62" s="92"/>
      <c r="J62" s="92">
        <v>30</v>
      </c>
      <c r="K62" s="92">
        <v>1969</v>
      </c>
      <c r="L62" s="92"/>
      <c r="M62" s="92"/>
      <c r="N62" s="92"/>
      <c r="O62" s="92"/>
      <c r="P62" s="92"/>
      <c r="Q62" s="92"/>
    </row>
    <row r="63" spans="2:17" ht="0.75" customHeight="1">
      <c r="B63" s="92"/>
      <c r="C63" s="92"/>
      <c r="D63" s="92"/>
      <c r="E63" s="92"/>
      <c r="F63" s="92"/>
      <c r="G63" s="92"/>
      <c r="H63" s="92"/>
      <c r="I63" s="92"/>
      <c r="J63" s="92">
        <v>31</v>
      </c>
      <c r="K63" s="92">
        <v>1970</v>
      </c>
      <c r="L63" s="92"/>
      <c r="M63" s="92"/>
      <c r="N63" s="92"/>
      <c r="O63" s="92"/>
      <c r="P63" s="92"/>
      <c r="Q63" s="92"/>
    </row>
    <row r="268" spans="10:17" ht="0.75" customHeight="1">
      <c r="J268" s="99"/>
      <c r="K268" s="99"/>
      <c r="L268" s="99"/>
      <c r="M268" s="99"/>
      <c r="N268" s="99"/>
      <c r="O268" s="99"/>
      <c r="P268" s="99"/>
      <c r="Q268" s="99"/>
    </row>
    <row r="269" spans="10:17" ht="0.75" customHeight="1">
      <c r="J269" s="99"/>
      <c r="K269" s="99"/>
      <c r="L269" s="99"/>
      <c r="M269" s="99"/>
      <c r="N269" s="99"/>
      <c r="O269" s="99"/>
      <c r="P269" s="99"/>
      <c r="Q269" s="99"/>
    </row>
    <row r="270" spans="10:17" ht="0.75" customHeight="1">
      <c r="J270" s="99"/>
      <c r="K270" s="99"/>
      <c r="L270" s="99"/>
      <c r="M270" s="99"/>
      <c r="N270" s="99"/>
      <c r="O270" s="99"/>
      <c r="P270" s="99"/>
      <c r="Q270" s="99"/>
    </row>
    <row r="271" spans="10:17" ht="0.75" customHeight="1">
      <c r="J271" s="99"/>
      <c r="K271" s="99"/>
      <c r="L271" s="99"/>
      <c r="M271" s="99"/>
      <c r="N271" s="99"/>
      <c r="O271" s="99"/>
      <c r="P271" s="99"/>
      <c r="Q271" s="99"/>
    </row>
    <row r="272" spans="10:17" ht="0.75" customHeight="1">
      <c r="J272" s="99"/>
      <c r="K272" s="99"/>
      <c r="L272" s="99"/>
      <c r="M272" s="99"/>
      <c r="N272" s="99"/>
      <c r="O272" s="99"/>
      <c r="P272" s="99"/>
      <c r="Q272" s="99"/>
    </row>
    <row r="273" spans="10:17" ht="0.75" customHeight="1">
      <c r="J273" s="99"/>
      <c r="K273" s="99"/>
      <c r="L273" s="99"/>
      <c r="M273" s="99"/>
      <c r="N273" s="99"/>
      <c r="O273" s="99"/>
      <c r="P273" s="99"/>
      <c r="Q273" s="99"/>
    </row>
    <row r="274" spans="10:17" ht="0.75" customHeight="1">
      <c r="J274" s="99"/>
      <c r="K274" s="99"/>
      <c r="L274" s="99"/>
      <c r="M274" s="99"/>
      <c r="N274" s="99"/>
      <c r="O274" s="99"/>
      <c r="P274" s="99"/>
      <c r="Q274" s="99"/>
    </row>
    <row r="275" spans="10:17" ht="0.75" customHeight="1">
      <c r="J275" s="99"/>
      <c r="K275" s="99"/>
      <c r="L275" s="99"/>
      <c r="M275" s="99"/>
      <c r="N275" s="99"/>
      <c r="O275" s="99"/>
      <c r="P275" s="99"/>
      <c r="Q275" s="99"/>
    </row>
    <row r="276" spans="10:17" ht="0.75" customHeight="1">
      <c r="J276" s="99"/>
      <c r="K276" s="99"/>
      <c r="L276" s="99"/>
      <c r="M276" s="99"/>
      <c r="N276" s="99"/>
      <c r="O276" s="99"/>
      <c r="P276" s="99"/>
      <c r="Q276" s="99"/>
    </row>
    <row r="277" spans="10:17" ht="0.75" customHeight="1">
      <c r="J277" s="99"/>
      <c r="K277" s="99"/>
      <c r="L277" s="99"/>
      <c r="M277" s="99"/>
      <c r="N277" s="99"/>
      <c r="O277" s="99"/>
      <c r="P277" s="99"/>
      <c r="Q277" s="99"/>
    </row>
    <row r="278" spans="10:17" ht="0.75" customHeight="1">
      <c r="J278" s="99"/>
      <c r="K278" s="99"/>
      <c r="L278" s="99"/>
      <c r="M278" s="99"/>
      <c r="N278" s="99"/>
      <c r="O278" s="99"/>
      <c r="P278" s="99"/>
      <c r="Q278" s="99"/>
    </row>
    <row r="279" spans="10:17" ht="0.75" customHeight="1">
      <c r="J279" s="99"/>
      <c r="K279" s="99"/>
      <c r="L279" s="99"/>
      <c r="M279" s="99"/>
      <c r="N279" s="99"/>
      <c r="O279" s="99"/>
      <c r="P279" s="99"/>
      <c r="Q279" s="99"/>
    </row>
    <row r="280" spans="10:17" ht="0.75" customHeight="1">
      <c r="J280" s="99"/>
      <c r="K280" s="99"/>
      <c r="L280" s="99"/>
      <c r="M280" s="99"/>
      <c r="N280" s="99"/>
      <c r="O280" s="99"/>
      <c r="P280" s="99"/>
      <c r="Q280" s="99"/>
    </row>
    <row r="281" spans="10:17" ht="0.75" customHeight="1">
      <c r="J281" s="99"/>
      <c r="K281" s="99"/>
      <c r="L281" s="99"/>
      <c r="M281" s="99"/>
      <c r="N281" s="99"/>
      <c r="O281" s="99"/>
      <c r="P281" s="99"/>
      <c r="Q281" s="99"/>
    </row>
    <row r="282" spans="10:17" ht="0.75" customHeight="1">
      <c r="J282" s="99"/>
      <c r="K282" s="99"/>
      <c r="L282" s="99"/>
      <c r="M282" s="99"/>
      <c r="N282" s="99"/>
      <c r="O282" s="99"/>
      <c r="P282" s="99"/>
      <c r="Q282" s="99"/>
    </row>
    <row r="283" spans="10:17" ht="0.75" customHeight="1">
      <c r="J283" s="99"/>
      <c r="K283" s="99"/>
      <c r="L283" s="99"/>
      <c r="M283" s="99"/>
      <c r="N283" s="99"/>
      <c r="O283" s="99"/>
      <c r="P283" s="99"/>
      <c r="Q283" s="99"/>
    </row>
    <row r="284" spans="10:17" ht="0.75" customHeight="1">
      <c r="J284" s="99"/>
      <c r="K284" s="99"/>
      <c r="L284" s="99"/>
      <c r="M284" s="99"/>
      <c r="N284" s="99"/>
      <c r="O284" s="99"/>
      <c r="P284" s="99"/>
      <c r="Q284" s="99"/>
    </row>
    <row r="285" spans="10:17" ht="0.75" customHeight="1">
      <c r="J285" s="99"/>
      <c r="K285" s="99"/>
      <c r="L285" s="99"/>
      <c r="M285" s="99"/>
      <c r="N285" s="99"/>
      <c r="O285" s="99"/>
      <c r="P285" s="99"/>
      <c r="Q285" s="99"/>
    </row>
    <row r="286" spans="10:17" ht="0.75" customHeight="1">
      <c r="J286" s="99"/>
      <c r="K286" s="99"/>
      <c r="L286" s="99"/>
      <c r="M286" s="99"/>
      <c r="N286" s="99"/>
      <c r="O286" s="99"/>
      <c r="P286" s="99"/>
      <c r="Q286" s="99"/>
    </row>
    <row r="287" spans="10:17" ht="0.75" customHeight="1">
      <c r="J287" s="99"/>
      <c r="K287" s="99"/>
      <c r="L287" s="99"/>
      <c r="M287" s="99"/>
      <c r="N287" s="99"/>
      <c r="O287" s="99"/>
      <c r="P287" s="99"/>
      <c r="Q287" s="99"/>
    </row>
    <row r="288" spans="10:17" ht="0.75" customHeight="1">
      <c r="J288" s="99"/>
      <c r="K288" s="99"/>
      <c r="L288" s="99"/>
      <c r="M288" s="99"/>
      <c r="N288" s="99"/>
      <c r="O288" s="99"/>
      <c r="P288" s="99"/>
      <c r="Q288" s="99"/>
    </row>
    <row r="289" spans="10:17" ht="0.75" customHeight="1">
      <c r="J289" s="99"/>
      <c r="K289" s="99"/>
      <c r="L289" s="99"/>
      <c r="M289" s="99"/>
      <c r="N289" s="99"/>
      <c r="O289" s="99"/>
      <c r="P289" s="99"/>
      <c r="Q289" s="99"/>
    </row>
    <row r="290" spans="10:17" ht="0.75" customHeight="1">
      <c r="J290" s="99"/>
      <c r="K290" s="99"/>
      <c r="L290" s="99"/>
      <c r="M290" s="99"/>
      <c r="N290" s="99"/>
      <c r="O290" s="99"/>
      <c r="P290" s="99"/>
      <c r="Q290" s="99"/>
    </row>
    <row r="291" spans="10:17" ht="0.75" customHeight="1">
      <c r="J291" s="99"/>
      <c r="K291" s="99"/>
      <c r="L291" s="99"/>
      <c r="M291" s="99"/>
      <c r="N291" s="99"/>
      <c r="O291" s="99"/>
      <c r="P291" s="99"/>
      <c r="Q291" s="99"/>
    </row>
  </sheetData>
  <sheetProtection password="8E6D" sheet="1" objects="1" scenarios="1"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V396"/>
  <sheetViews>
    <sheetView zoomScale="75" zoomScaleNormal="75" workbookViewId="0" topLeftCell="B1">
      <pane xSplit="4" topLeftCell="L2" activePane="topRight" state="frozen"/>
      <selection pane="topLeft" activeCell="E6" sqref="E6:G6"/>
      <selection pane="topRight" activeCell="B1" sqref="A1:IV16384"/>
    </sheetView>
  </sheetViews>
  <sheetFormatPr defaultColWidth="9.140625" defaultRowHeight="12.75" zeroHeight="1"/>
  <cols>
    <col min="1" max="5" width="0.13671875" style="148" customWidth="1"/>
    <col min="6" max="6" width="0.13671875" style="249" customWidth="1"/>
    <col min="7" max="7" width="0.13671875" style="231" customWidth="1"/>
    <col min="8" max="9" width="0.13671875" style="232" customWidth="1"/>
    <col min="10" max="10" width="0.13671875" style="233" customWidth="1"/>
    <col min="11" max="16" width="0.13671875" style="165" customWidth="1"/>
    <col min="17" max="17" width="0.13671875" style="234" customWidth="1"/>
    <col min="18" max="16384" width="0.13671875" style="148" customWidth="1"/>
  </cols>
  <sheetData>
    <row r="1" spans="2:22" ht="53.25" customHeight="1" hidden="1">
      <c r="B1" s="87" t="s">
        <v>384</v>
      </c>
      <c r="C1" s="88" t="s">
        <v>385</v>
      </c>
      <c r="D1" s="88" t="s">
        <v>386</v>
      </c>
      <c r="E1" s="88" t="s">
        <v>387</v>
      </c>
      <c r="F1" s="146" t="s">
        <v>106</v>
      </c>
      <c r="G1" s="88" t="s">
        <v>389</v>
      </c>
      <c r="H1" s="88" t="s">
        <v>390</v>
      </c>
      <c r="I1" s="88" t="s">
        <v>391</v>
      </c>
      <c r="J1" s="88" t="s">
        <v>391</v>
      </c>
      <c r="K1" s="88"/>
      <c r="L1" s="89" t="s">
        <v>46</v>
      </c>
      <c r="M1" s="90"/>
      <c r="N1" s="91"/>
      <c r="O1" s="147"/>
      <c r="P1" s="147"/>
      <c r="Q1" s="147"/>
      <c r="R1" s="147"/>
      <c r="S1" s="147"/>
      <c r="T1" s="146" t="s">
        <v>105</v>
      </c>
      <c r="U1" s="146" t="s">
        <v>101</v>
      </c>
      <c r="V1" s="146" t="s">
        <v>106</v>
      </c>
    </row>
    <row r="2" spans="2:21" ht="12.75" hidden="1">
      <c r="B2" s="96"/>
      <c r="C2" s="96">
        <v>0</v>
      </c>
      <c r="D2" s="96"/>
      <c r="E2" s="96"/>
      <c r="F2" s="148"/>
      <c r="G2" s="97"/>
      <c r="H2" s="97">
        <v>0</v>
      </c>
      <c r="I2" s="90"/>
      <c r="J2" s="90"/>
      <c r="K2" s="90"/>
      <c r="L2" s="98">
        <v>5</v>
      </c>
      <c r="M2" s="149">
        <v>7</v>
      </c>
      <c r="N2" s="91"/>
      <c r="O2" s="147"/>
      <c r="P2" s="150">
        <v>37833</v>
      </c>
      <c r="Q2" s="147" t="s">
        <v>326</v>
      </c>
      <c r="R2" s="147"/>
      <c r="S2" s="147"/>
      <c r="T2" s="97"/>
      <c r="U2" s="97"/>
    </row>
    <row r="3" spans="2:22" ht="12" hidden="1">
      <c r="B3" s="100">
        <v>1</v>
      </c>
      <c r="C3" s="98" t="s">
        <v>392</v>
      </c>
      <c r="D3" s="98">
        <v>171</v>
      </c>
      <c r="E3" s="151">
        <f aca="true" t="shared" si="0" ref="E3:E12">$E$13*D3/$D$13</f>
        <v>1639.89</v>
      </c>
      <c r="F3" s="152">
        <v>1879.54</v>
      </c>
      <c r="G3" s="101">
        <f aca="true" t="shared" si="1" ref="G3:G12">$G$13*D3/$D$13</f>
        <v>1749.9969</v>
      </c>
      <c r="H3" s="101">
        <v>47.19</v>
      </c>
      <c r="I3" s="90">
        <v>325</v>
      </c>
      <c r="J3" s="90">
        <v>52</v>
      </c>
      <c r="K3" s="90">
        <f>SUM(I3:J3)</f>
        <v>377</v>
      </c>
      <c r="L3" s="98">
        <v>1</v>
      </c>
      <c r="M3" s="90"/>
      <c r="N3" s="91"/>
      <c r="O3" s="147"/>
      <c r="P3" s="150">
        <v>37727</v>
      </c>
      <c r="Q3" s="147" t="s">
        <v>325</v>
      </c>
      <c r="R3" s="147"/>
      <c r="S3" s="147"/>
      <c r="T3" s="152">
        <v>1801.82</v>
      </c>
      <c r="U3" s="152">
        <v>1840.68</v>
      </c>
      <c r="V3" s="152">
        <v>1879.54</v>
      </c>
    </row>
    <row r="4" spans="2:22" ht="12" hidden="1">
      <c r="B4" s="100">
        <v>2</v>
      </c>
      <c r="C4" s="98" t="s">
        <v>393</v>
      </c>
      <c r="D4" s="98">
        <v>147</v>
      </c>
      <c r="E4" s="151">
        <f t="shared" si="0"/>
        <v>1409.73</v>
      </c>
      <c r="F4" s="152">
        <v>1615.76</v>
      </c>
      <c r="G4" s="101">
        <f t="shared" si="1"/>
        <v>1504.3833</v>
      </c>
      <c r="H4" s="101">
        <v>38.27</v>
      </c>
      <c r="I4" s="90">
        <v>234</v>
      </c>
      <c r="J4" s="90">
        <v>36</v>
      </c>
      <c r="K4" s="90">
        <f>SUM(I4:J4)</f>
        <v>270</v>
      </c>
      <c r="L4" s="98">
        <v>2</v>
      </c>
      <c r="M4" s="90"/>
      <c r="N4" s="91"/>
      <c r="O4" s="147"/>
      <c r="P4" s="147"/>
      <c r="Q4" s="147"/>
      <c r="R4" s="147"/>
      <c r="S4" s="147"/>
      <c r="T4" s="152">
        <v>1548.94</v>
      </c>
      <c r="U4" s="152">
        <v>1582.35</v>
      </c>
      <c r="V4" s="152">
        <v>1615.76</v>
      </c>
    </row>
    <row r="5" spans="2:22" ht="12" hidden="1">
      <c r="B5" s="100">
        <v>3</v>
      </c>
      <c r="C5" s="98" t="s">
        <v>394</v>
      </c>
      <c r="D5" s="98">
        <v>141</v>
      </c>
      <c r="E5" s="151">
        <f t="shared" si="0"/>
        <v>1352.19</v>
      </c>
      <c r="F5" s="152">
        <v>1549.82</v>
      </c>
      <c r="G5" s="101">
        <f t="shared" si="1"/>
        <v>1442.9798999999998</v>
      </c>
      <c r="H5" s="101">
        <v>35.95</v>
      </c>
      <c r="I5" s="90">
        <v>44</v>
      </c>
      <c r="J5" s="90"/>
      <c r="K5" s="90">
        <f>SUM(I5:J5)</f>
        <v>44</v>
      </c>
      <c r="L5" s="98">
        <v>3</v>
      </c>
      <c r="M5" s="102" t="s">
        <v>395</v>
      </c>
      <c r="N5" s="91"/>
      <c r="O5" s="153">
        <f>IF(M2&lt;7,O11,0)</f>
        <v>0</v>
      </c>
      <c r="P5" s="90"/>
      <c r="Q5" s="154" t="s">
        <v>145</v>
      </c>
      <c r="R5" s="155"/>
      <c r="S5" s="147"/>
      <c r="T5" s="152">
        <v>1485.72</v>
      </c>
      <c r="U5" s="152">
        <v>1517.77</v>
      </c>
      <c r="V5" s="152">
        <v>1549.82</v>
      </c>
    </row>
    <row r="6" spans="2:22" ht="12" hidden="1">
      <c r="B6" s="100">
        <v>4</v>
      </c>
      <c r="C6" s="98" t="s">
        <v>396</v>
      </c>
      <c r="D6" s="98">
        <v>138</v>
      </c>
      <c r="E6" s="151">
        <f t="shared" si="0"/>
        <v>1323.42</v>
      </c>
      <c r="F6" s="152">
        <v>1516.82</v>
      </c>
      <c r="G6" s="101">
        <f t="shared" si="1"/>
        <v>1412.2782</v>
      </c>
      <c r="H6" s="101">
        <v>33.62</v>
      </c>
      <c r="I6" s="90"/>
      <c r="J6" s="90"/>
      <c r="K6" s="90"/>
      <c r="L6" s="98">
        <v>4</v>
      </c>
      <c r="M6" s="156">
        <f>VLOOKUP(link!C22,C3:H13,6)*M2</f>
        <v>330.33</v>
      </c>
      <c r="N6" s="91"/>
      <c r="O6" s="157">
        <f>VLOOKUP(link!C22,C3:H13,6)</f>
        <v>47.19</v>
      </c>
      <c r="P6" s="90"/>
      <c r="Q6" s="154" t="s">
        <v>141</v>
      </c>
      <c r="R6" s="155"/>
      <c r="S6" s="147"/>
      <c r="T6" s="152">
        <v>1454.1</v>
      </c>
      <c r="U6" s="152">
        <v>1485.46</v>
      </c>
      <c r="V6" s="152">
        <v>1516.82</v>
      </c>
    </row>
    <row r="7" spans="2:22" ht="12" hidden="1">
      <c r="B7" s="100">
        <v>5</v>
      </c>
      <c r="C7" s="98" t="s">
        <v>397</v>
      </c>
      <c r="D7" s="98">
        <v>132</v>
      </c>
      <c r="E7" s="151">
        <f t="shared" si="0"/>
        <v>1265.88</v>
      </c>
      <c r="F7" s="152">
        <v>1450.88</v>
      </c>
      <c r="G7" s="101">
        <f t="shared" si="1"/>
        <v>1350.8748</v>
      </c>
      <c r="H7" s="101">
        <v>31.77</v>
      </c>
      <c r="I7" s="90"/>
      <c r="J7" s="90"/>
      <c r="K7" s="90"/>
      <c r="L7" s="98">
        <v>5</v>
      </c>
      <c r="M7" s="90"/>
      <c r="N7" s="91"/>
      <c r="O7" s="158">
        <f>link!F36-link!F37</f>
        <v>39293</v>
      </c>
      <c r="P7" s="90"/>
      <c r="Q7" s="159" t="s">
        <v>142</v>
      </c>
      <c r="R7" s="155"/>
      <c r="S7" s="147"/>
      <c r="T7" s="152">
        <v>1390.88</v>
      </c>
      <c r="U7" s="152">
        <v>1420.88</v>
      </c>
      <c r="V7" s="152">
        <v>1450.88</v>
      </c>
    </row>
    <row r="8" spans="2:22" ht="12" hidden="1">
      <c r="B8" s="100">
        <v>6</v>
      </c>
      <c r="C8" s="98" t="s">
        <v>398</v>
      </c>
      <c r="D8" s="98">
        <v>127</v>
      </c>
      <c r="E8" s="151">
        <f t="shared" si="0"/>
        <v>1217.93</v>
      </c>
      <c r="F8" s="152">
        <v>1395.91</v>
      </c>
      <c r="G8" s="101">
        <f t="shared" si="1"/>
        <v>1299.7053</v>
      </c>
      <c r="H8" s="101">
        <v>29.91</v>
      </c>
      <c r="I8" s="90"/>
      <c r="J8" s="90"/>
      <c r="K8" s="90"/>
      <c r="L8" s="98">
        <v>6</v>
      </c>
      <c r="M8" s="90"/>
      <c r="N8" s="90"/>
      <c r="O8" s="90"/>
      <c r="P8" s="158">
        <f>IF(O7&gt;365,12,MONTH(O7)-1)</f>
        <v>12</v>
      </c>
      <c r="Q8" s="159" t="s">
        <v>143</v>
      </c>
      <c r="R8" s="155"/>
      <c r="S8" s="147"/>
      <c r="T8" s="152">
        <v>1338.19</v>
      </c>
      <c r="U8" s="152">
        <v>1367.05</v>
      </c>
      <c r="V8" s="152">
        <v>1395.91</v>
      </c>
    </row>
    <row r="9" spans="2:22" ht="12" hidden="1">
      <c r="B9" s="100">
        <v>7</v>
      </c>
      <c r="C9" s="98" t="s">
        <v>399</v>
      </c>
      <c r="D9" s="98">
        <v>125</v>
      </c>
      <c r="E9" s="151">
        <f t="shared" si="0"/>
        <v>1198.75</v>
      </c>
      <c r="F9" s="152">
        <v>1373.94</v>
      </c>
      <c r="G9" s="101">
        <f t="shared" si="1"/>
        <v>1279.2375</v>
      </c>
      <c r="H9" s="101">
        <v>28.42</v>
      </c>
      <c r="I9" s="90"/>
      <c r="J9" s="90"/>
      <c r="K9" s="90"/>
      <c r="L9" s="98">
        <v>7</v>
      </c>
      <c r="M9" s="90"/>
      <c r="N9" s="90"/>
      <c r="O9" s="158">
        <f>O7-365</f>
        <v>38928</v>
      </c>
      <c r="P9" s="157">
        <f>IF(O9&gt;1,MONTH(O9),0)</f>
        <v>7</v>
      </c>
      <c r="Q9" s="159" t="s">
        <v>143</v>
      </c>
      <c r="R9" s="155"/>
      <c r="S9" s="147"/>
      <c r="T9" s="152">
        <v>1317.12</v>
      </c>
      <c r="U9" s="152">
        <v>1345.53</v>
      </c>
      <c r="V9" s="152">
        <v>1373.94</v>
      </c>
    </row>
    <row r="10" spans="2:22" ht="12" hidden="1">
      <c r="B10" s="100">
        <v>8</v>
      </c>
      <c r="C10" s="98" t="s">
        <v>400</v>
      </c>
      <c r="D10" s="98">
        <v>119</v>
      </c>
      <c r="E10" s="151">
        <f t="shared" si="0"/>
        <v>1141.21</v>
      </c>
      <c r="F10" s="152">
        <v>1308</v>
      </c>
      <c r="G10" s="101">
        <f t="shared" si="1"/>
        <v>1217.8341</v>
      </c>
      <c r="H10" s="101">
        <v>25.64</v>
      </c>
      <c r="I10" s="90"/>
      <c r="J10" s="90"/>
      <c r="K10" s="90"/>
      <c r="L10" s="90"/>
      <c r="M10" s="90"/>
      <c r="N10" s="90"/>
      <c r="O10" s="90"/>
      <c r="P10" s="158">
        <f>SUM(P8:P9)</f>
        <v>19</v>
      </c>
      <c r="Q10" s="160" t="s">
        <v>56</v>
      </c>
      <c r="R10" s="147"/>
      <c r="S10" s="147"/>
      <c r="T10" s="152">
        <v>1253.9</v>
      </c>
      <c r="U10" s="152">
        <v>1280.95</v>
      </c>
      <c r="V10" s="152">
        <v>1308</v>
      </c>
    </row>
    <row r="11" spans="2:22" ht="12" hidden="1">
      <c r="B11" s="100">
        <v>9</v>
      </c>
      <c r="C11" s="98" t="s">
        <v>401</v>
      </c>
      <c r="D11" s="98">
        <v>117</v>
      </c>
      <c r="E11" s="151">
        <f t="shared" si="0"/>
        <v>1122.03</v>
      </c>
      <c r="F11" s="152">
        <v>1286</v>
      </c>
      <c r="G11" s="101">
        <f t="shared" si="1"/>
        <v>1197.3663000000001</v>
      </c>
      <c r="H11" s="101">
        <v>24.34</v>
      </c>
      <c r="I11" s="90"/>
      <c r="J11" s="90"/>
      <c r="K11" s="90"/>
      <c r="L11" s="90"/>
      <c r="M11" s="90"/>
      <c r="N11" s="90"/>
      <c r="O11" s="153">
        <f>O6*P10/24</f>
        <v>37.35874999999999</v>
      </c>
      <c r="P11" s="90"/>
      <c r="Q11" s="154" t="s">
        <v>144</v>
      </c>
      <c r="R11" s="155"/>
      <c r="S11" s="147"/>
      <c r="T11" s="152">
        <v>1232.82</v>
      </c>
      <c r="U11" s="152">
        <v>1259.41</v>
      </c>
      <c r="V11" s="152">
        <v>1286</v>
      </c>
    </row>
    <row r="12" spans="2:22" ht="12" hidden="1">
      <c r="B12" s="100">
        <v>10</v>
      </c>
      <c r="C12" s="98" t="s">
        <v>402</v>
      </c>
      <c r="D12" s="98">
        <v>111</v>
      </c>
      <c r="E12" s="151">
        <f t="shared" si="0"/>
        <v>1064.49</v>
      </c>
      <c r="F12" s="152">
        <v>1220.07</v>
      </c>
      <c r="G12" s="101">
        <f t="shared" si="1"/>
        <v>1135.9629</v>
      </c>
      <c r="H12" s="101">
        <v>22.66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147"/>
      <c r="T12" s="152">
        <v>1169.61</v>
      </c>
      <c r="U12" s="152">
        <v>1194.84</v>
      </c>
      <c r="V12" s="152">
        <v>1220.07</v>
      </c>
    </row>
    <row r="13" spans="2:22" ht="12" hidden="1">
      <c r="B13" s="100">
        <v>11</v>
      </c>
      <c r="C13" s="98" t="s">
        <v>403</v>
      </c>
      <c r="D13" s="98">
        <v>100</v>
      </c>
      <c r="E13" s="151">
        <v>959</v>
      </c>
      <c r="F13" s="152">
        <v>1099.15</v>
      </c>
      <c r="G13" s="101">
        <v>1023.39</v>
      </c>
      <c r="H13" s="101">
        <v>18.58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147"/>
      <c r="T13" s="152">
        <v>1053.69</v>
      </c>
      <c r="U13" s="152">
        <v>1076.42</v>
      </c>
      <c r="V13" s="152">
        <v>1099.15</v>
      </c>
    </row>
    <row r="14" spans="2:21" ht="12" hidden="1">
      <c r="B14" s="100"/>
      <c r="C14" s="98"/>
      <c r="D14" s="98"/>
      <c r="E14" s="151"/>
      <c r="F14" s="151"/>
      <c r="G14" s="101"/>
      <c r="H14" s="101"/>
      <c r="I14" s="90"/>
      <c r="J14" s="90"/>
      <c r="K14" s="90"/>
      <c r="L14" s="90"/>
      <c r="M14" s="90"/>
      <c r="N14" s="90"/>
      <c r="O14" s="90"/>
      <c r="P14" s="90"/>
      <c r="Q14" s="160"/>
      <c r="R14" s="147"/>
      <c r="S14" s="147"/>
      <c r="T14" s="147"/>
      <c r="U14" s="147"/>
    </row>
    <row r="15" spans="2:21" ht="255" hidden="1">
      <c r="B15" s="161"/>
      <c r="C15" s="162"/>
      <c r="D15" s="163"/>
      <c r="E15" s="88" t="s">
        <v>404</v>
      </c>
      <c r="F15" s="88" t="s">
        <v>405</v>
      </c>
      <c r="G15" s="88" t="s">
        <v>406</v>
      </c>
      <c r="H15" s="146" t="s">
        <v>107</v>
      </c>
      <c r="I15" s="146" t="s">
        <v>108</v>
      </c>
      <c r="J15" s="146" t="s">
        <v>109</v>
      </c>
      <c r="K15" s="90"/>
      <c r="L15" s="90"/>
      <c r="M15" s="160"/>
      <c r="N15" s="147"/>
      <c r="O15" s="90"/>
      <c r="P15" s="90"/>
      <c r="Q15" s="147"/>
      <c r="R15" s="147"/>
      <c r="S15" s="147"/>
      <c r="T15" s="147"/>
      <c r="U15" s="147"/>
    </row>
    <row r="16" spans="2:21" ht="12.75" hidden="1" thickBot="1">
      <c r="B16" s="100">
        <v>1</v>
      </c>
      <c r="C16" s="98" t="s">
        <v>392</v>
      </c>
      <c r="D16" s="98">
        <v>171</v>
      </c>
      <c r="E16" s="164">
        <v>557.0798494011682</v>
      </c>
      <c r="F16" s="151">
        <f>F3-$E16</f>
        <v>1322.4601505988317</v>
      </c>
      <c r="G16" s="151">
        <f>G3-$E16</f>
        <v>1192.9170505988318</v>
      </c>
      <c r="H16" s="151">
        <f>T3-$E16</f>
        <v>1244.7401505988319</v>
      </c>
      <c r="I16" s="151">
        <f aca="true" t="shared" si="2" ref="I16:J26">U3-$E16</f>
        <v>1283.600150598832</v>
      </c>
      <c r="J16" s="151">
        <f t="shared" si="2"/>
        <v>1322.4601505988317</v>
      </c>
      <c r="K16" s="90"/>
      <c r="L16" s="90"/>
      <c r="M16" s="90"/>
      <c r="N16" s="90"/>
      <c r="O16" s="147"/>
      <c r="P16" s="147"/>
      <c r="Q16" s="147"/>
      <c r="R16" s="147"/>
      <c r="S16" s="147"/>
      <c r="T16" s="147"/>
      <c r="U16" s="147"/>
    </row>
    <row r="17" spans="2:21" ht="12.75" hidden="1" thickBot="1">
      <c r="B17" s="100">
        <v>2</v>
      </c>
      <c r="C17" s="98" t="s">
        <v>393</v>
      </c>
      <c r="D17" s="98">
        <v>147</v>
      </c>
      <c r="E17" s="164">
        <v>544.7003775299933</v>
      </c>
      <c r="F17" s="151">
        <f aca="true" t="shared" si="3" ref="F17:G26">F4-$E17</f>
        <v>1071.0596224700066</v>
      </c>
      <c r="G17" s="151">
        <f t="shared" si="3"/>
        <v>959.6829224700067</v>
      </c>
      <c r="H17" s="151">
        <f aca="true" t="shared" si="4" ref="H17:H26">T4-$E17</f>
        <v>1004.2396224700068</v>
      </c>
      <c r="I17" s="151">
        <f t="shared" si="2"/>
        <v>1037.6496224700068</v>
      </c>
      <c r="J17" s="151">
        <f t="shared" si="2"/>
        <v>1071.0596224700066</v>
      </c>
      <c r="Q17" s="166">
        <v>220</v>
      </c>
      <c r="R17" s="166">
        <v>245</v>
      </c>
      <c r="S17" s="147"/>
      <c r="T17" s="147"/>
      <c r="U17" s="147"/>
    </row>
    <row r="18" spans="2:21" ht="12.75" hidden="1" thickBot="1">
      <c r="B18" s="100">
        <v>3</v>
      </c>
      <c r="C18" s="98" t="s">
        <v>394</v>
      </c>
      <c r="D18" s="98">
        <v>141</v>
      </c>
      <c r="E18" s="164">
        <v>537.6801789006698</v>
      </c>
      <c r="F18" s="151">
        <f t="shared" si="3"/>
        <v>1012.1398210993301</v>
      </c>
      <c r="G18" s="151">
        <f t="shared" si="3"/>
        <v>905.29972109933</v>
      </c>
      <c r="H18" s="151">
        <f t="shared" si="4"/>
        <v>948.0398210993302</v>
      </c>
      <c r="I18" s="151">
        <f t="shared" si="2"/>
        <v>980.0898210993302</v>
      </c>
      <c r="J18" s="151">
        <f t="shared" si="2"/>
        <v>1012.1398210993301</v>
      </c>
      <c r="Q18" s="167">
        <v>1054687</v>
      </c>
      <c r="R18" s="167">
        <v>1078657</v>
      </c>
      <c r="S18" s="147"/>
      <c r="T18" s="147"/>
      <c r="U18" s="147"/>
    </row>
    <row r="19" spans="2:21" ht="12" hidden="1">
      <c r="B19" s="100">
        <v>4</v>
      </c>
      <c r="C19" s="98" t="s">
        <v>396</v>
      </c>
      <c r="D19" s="98">
        <v>138</v>
      </c>
      <c r="E19" s="164">
        <v>537.6801789006698</v>
      </c>
      <c r="F19" s="151">
        <f t="shared" si="3"/>
        <v>979.1398210993301</v>
      </c>
      <c r="G19" s="151">
        <f t="shared" si="3"/>
        <v>874.5980210993301</v>
      </c>
      <c r="H19" s="151">
        <f t="shared" si="4"/>
        <v>916.4198210993301</v>
      </c>
      <c r="I19" s="151">
        <f t="shared" si="2"/>
        <v>947.7798210993302</v>
      </c>
      <c r="J19" s="151">
        <f t="shared" si="2"/>
        <v>979.1398210993301</v>
      </c>
      <c r="Q19" s="164">
        <f>Q18/1936.27</f>
        <v>544.7003775299933</v>
      </c>
      <c r="R19" s="164">
        <f>R18/1936.27</f>
        <v>557.0798494011682</v>
      </c>
      <c r="S19" s="147"/>
      <c r="T19" s="147"/>
      <c r="U19" s="147"/>
    </row>
    <row r="20" spans="2:21" ht="12" hidden="1">
      <c r="B20" s="100">
        <v>5</v>
      </c>
      <c r="C20" s="98" t="s">
        <v>397</v>
      </c>
      <c r="D20" s="98">
        <v>132</v>
      </c>
      <c r="E20" s="164">
        <v>533.3001079394919</v>
      </c>
      <c r="F20" s="151">
        <f t="shared" si="3"/>
        <v>917.5798920605082</v>
      </c>
      <c r="G20" s="151">
        <f t="shared" si="3"/>
        <v>817.5746920605081</v>
      </c>
      <c r="H20" s="151">
        <f t="shared" si="4"/>
        <v>857.5798920605082</v>
      </c>
      <c r="I20" s="151">
        <f t="shared" si="2"/>
        <v>887.5798920605082</v>
      </c>
      <c r="J20" s="151">
        <f t="shared" si="2"/>
        <v>917.5798920605082</v>
      </c>
      <c r="K20" s="168"/>
      <c r="L20" s="168"/>
      <c r="M20" s="168"/>
      <c r="N20" s="168"/>
      <c r="O20" s="147"/>
      <c r="P20" s="147"/>
      <c r="Q20" s="147"/>
      <c r="R20" s="147"/>
      <c r="S20" s="147"/>
      <c r="T20" s="147"/>
      <c r="U20" s="147"/>
    </row>
    <row r="21" spans="2:21" ht="12" hidden="1">
      <c r="B21" s="100">
        <v>6</v>
      </c>
      <c r="C21" s="98" t="s">
        <v>398</v>
      </c>
      <c r="D21" s="98">
        <v>127</v>
      </c>
      <c r="E21" s="164">
        <v>530.368182123361</v>
      </c>
      <c r="F21" s="151">
        <f t="shared" si="3"/>
        <v>865.5418178766391</v>
      </c>
      <c r="G21" s="151">
        <f t="shared" si="3"/>
        <v>769.3371178766391</v>
      </c>
      <c r="H21" s="151">
        <f t="shared" si="4"/>
        <v>807.8218178766391</v>
      </c>
      <c r="I21" s="151">
        <f t="shared" si="2"/>
        <v>836.681817876639</v>
      </c>
      <c r="J21" s="151">
        <f t="shared" si="2"/>
        <v>865.5418178766391</v>
      </c>
      <c r="K21" s="90"/>
      <c r="L21" s="90"/>
      <c r="M21" s="160"/>
      <c r="N21" s="147"/>
      <c r="O21" s="147"/>
      <c r="P21" s="147"/>
      <c r="Q21" s="147"/>
      <c r="R21" s="147"/>
      <c r="S21" s="147"/>
      <c r="T21" s="147"/>
      <c r="U21" s="147"/>
    </row>
    <row r="22" spans="2:21" ht="12" hidden="1">
      <c r="B22" s="100">
        <v>7</v>
      </c>
      <c r="C22" s="98" t="s">
        <v>399</v>
      </c>
      <c r="D22" s="98">
        <v>125</v>
      </c>
      <c r="E22" s="164">
        <v>526.8934601062869</v>
      </c>
      <c r="F22" s="151">
        <f t="shared" si="3"/>
        <v>847.0465398937132</v>
      </c>
      <c r="G22" s="151">
        <f t="shared" si="3"/>
        <v>752.3440398937131</v>
      </c>
      <c r="H22" s="151">
        <f t="shared" si="4"/>
        <v>790.226539893713</v>
      </c>
      <c r="I22" s="151">
        <f t="shared" si="2"/>
        <v>818.6365398937131</v>
      </c>
      <c r="J22" s="151">
        <f t="shared" si="2"/>
        <v>847.0465398937132</v>
      </c>
      <c r="K22" s="90"/>
      <c r="L22" s="90"/>
      <c r="M22" s="160"/>
      <c r="N22" s="147"/>
      <c r="O22" s="147"/>
      <c r="P22" s="147"/>
      <c r="Q22" s="147"/>
      <c r="R22" s="147"/>
      <c r="S22" s="147"/>
      <c r="T22" s="147"/>
      <c r="U22" s="147"/>
    </row>
    <row r="23" spans="2:21" ht="12" hidden="1">
      <c r="B23" s="100">
        <v>8</v>
      </c>
      <c r="C23" s="98" t="s">
        <v>400</v>
      </c>
      <c r="D23" s="98">
        <v>119</v>
      </c>
      <c r="E23" s="164">
        <v>524.7790855614145</v>
      </c>
      <c r="F23" s="151">
        <f t="shared" si="3"/>
        <v>783.2209144385855</v>
      </c>
      <c r="G23" s="151">
        <f t="shared" si="3"/>
        <v>693.0550144385855</v>
      </c>
      <c r="H23" s="151">
        <f t="shared" si="4"/>
        <v>729.1209144385856</v>
      </c>
      <c r="I23" s="151">
        <f t="shared" si="2"/>
        <v>756.1709144385856</v>
      </c>
      <c r="J23" s="151">
        <f t="shared" si="2"/>
        <v>783.2209144385855</v>
      </c>
      <c r="K23" s="90"/>
      <c r="L23" s="90"/>
      <c r="M23" s="160"/>
      <c r="N23" s="147"/>
      <c r="O23" s="147"/>
      <c r="P23" s="147"/>
      <c r="Q23" s="147"/>
      <c r="R23" s="147"/>
      <c r="S23" s="147"/>
      <c r="T23" s="147"/>
      <c r="U23" s="147"/>
    </row>
    <row r="24" spans="2:21" ht="12" hidden="1">
      <c r="B24" s="100">
        <v>9</v>
      </c>
      <c r="C24" s="98" t="s">
        <v>401</v>
      </c>
      <c r="D24" s="98">
        <v>117</v>
      </c>
      <c r="E24" s="164">
        <v>522.1064211086264</v>
      </c>
      <c r="F24" s="151">
        <f t="shared" si="3"/>
        <v>763.8935788913736</v>
      </c>
      <c r="G24" s="151">
        <f t="shared" si="3"/>
        <v>675.2598788913738</v>
      </c>
      <c r="H24" s="151">
        <f t="shared" si="4"/>
        <v>710.7135788913736</v>
      </c>
      <c r="I24" s="151">
        <f t="shared" si="2"/>
        <v>737.3035788913737</v>
      </c>
      <c r="J24" s="151">
        <f t="shared" si="2"/>
        <v>763.8935788913736</v>
      </c>
      <c r="K24" s="90"/>
      <c r="L24" s="90"/>
      <c r="M24" s="160"/>
      <c r="N24" s="147"/>
      <c r="O24" s="147"/>
      <c r="P24" s="147"/>
      <c r="Q24" s="147"/>
      <c r="R24" s="147"/>
      <c r="S24" s="147"/>
      <c r="T24" s="147"/>
      <c r="U24" s="147"/>
    </row>
    <row r="25" spans="2:21" ht="12" hidden="1">
      <c r="B25" s="100">
        <v>10</v>
      </c>
      <c r="C25" s="98" t="s">
        <v>402</v>
      </c>
      <c r="D25" s="98">
        <v>111</v>
      </c>
      <c r="E25" s="164">
        <v>516.6970515475631</v>
      </c>
      <c r="F25" s="151">
        <f t="shared" si="3"/>
        <v>703.3729484524368</v>
      </c>
      <c r="G25" s="151">
        <f t="shared" si="3"/>
        <v>619.2658484524369</v>
      </c>
      <c r="H25" s="151">
        <f t="shared" si="4"/>
        <v>652.9129484524368</v>
      </c>
      <c r="I25" s="151">
        <f t="shared" si="2"/>
        <v>678.1429484524368</v>
      </c>
      <c r="J25" s="151">
        <f t="shared" si="2"/>
        <v>703.3729484524368</v>
      </c>
      <c r="K25" s="90"/>
      <c r="L25" s="90"/>
      <c r="M25" s="90"/>
      <c r="N25" s="90"/>
      <c r="O25" s="147"/>
      <c r="P25" s="147"/>
      <c r="Q25" s="147"/>
      <c r="R25" s="147"/>
      <c r="S25" s="147"/>
      <c r="T25" s="147"/>
      <c r="U25" s="147"/>
    </row>
    <row r="26" spans="2:21" ht="12.75" hidden="1" thickBot="1">
      <c r="B26" s="100">
        <v>11</v>
      </c>
      <c r="C26" s="98" t="s">
        <v>403</v>
      </c>
      <c r="D26" s="98">
        <v>100</v>
      </c>
      <c r="E26" s="164">
        <v>516.6970515475631</v>
      </c>
      <c r="F26" s="151">
        <f t="shared" si="3"/>
        <v>582.452948452437</v>
      </c>
      <c r="G26" s="151">
        <f t="shared" si="3"/>
        <v>506.6929484524369</v>
      </c>
      <c r="H26" s="151">
        <f t="shared" si="4"/>
        <v>536.992948452437</v>
      </c>
      <c r="I26" s="151">
        <f t="shared" si="2"/>
        <v>559.722948452437</v>
      </c>
      <c r="J26" s="151">
        <f t="shared" si="2"/>
        <v>582.452948452437</v>
      </c>
      <c r="K26" s="90"/>
      <c r="L26" s="90"/>
      <c r="M26" s="90"/>
      <c r="N26" s="90"/>
      <c r="O26" s="90"/>
      <c r="P26" s="90"/>
      <c r="Q26" s="160"/>
      <c r="R26" s="147"/>
      <c r="S26" s="147"/>
      <c r="T26" s="147"/>
      <c r="U26" s="147"/>
    </row>
    <row r="27" spans="2:21" ht="12.75" hidden="1" thickBot="1">
      <c r="B27" s="100"/>
      <c r="C27" s="98"/>
      <c r="D27" s="98"/>
      <c r="E27" s="147"/>
      <c r="F27" s="151"/>
      <c r="G27" s="151"/>
      <c r="H27" s="163"/>
      <c r="I27" s="163"/>
      <c r="J27" s="169">
        <v>100</v>
      </c>
      <c r="K27" s="166">
        <v>122</v>
      </c>
      <c r="L27" s="166">
        <v>135</v>
      </c>
      <c r="M27" s="166">
        <v>142</v>
      </c>
      <c r="N27" s="166">
        <v>156</v>
      </c>
      <c r="O27" s="166">
        <v>167</v>
      </c>
      <c r="P27" s="166">
        <v>186</v>
      </c>
      <c r="Q27" s="160"/>
      <c r="R27" s="147"/>
      <c r="S27" s="147"/>
      <c r="T27" s="147"/>
      <c r="U27" s="147"/>
    </row>
    <row r="28" spans="2:21" ht="12.75" hidden="1" thickBot="1">
      <c r="B28" s="100"/>
      <c r="C28" s="98"/>
      <c r="D28" s="98"/>
      <c r="E28" s="147"/>
      <c r="F28" s="151"/>
      <c r="G28" s="151"/>
      <c r="H28" s="163"/>
      <c r="I28" s="163"/>
      <c r="J28" s="170">
        <v>1000465</v>
      </c>
      <c r="K28" s="167">
        <v>1010939</v>
      </c>
      <c r="L28" s="167">
        <v>1016114</v>
      </c>
      <c r="M28" s="167">
        <v>1020208</v>
      </c>
      <c r="N28" s="167">
        <v>1026936</v>
      </c>
      <c r="O28" s="167">
        <v>1032613</v>
      </c>
      <c r="P28" s="167">
        <v>1041094</v>
      </c>
      <c r="Q28" s="160"/>
      <c r="R28" s="147"/>
      <c r="S28" s="147"/>
      <c r="T28" s="147"/>
      <c r="U28" s="147"/>
    </row>
    <row r="29" spans="2:21" ht="12" hidden="1">
      <c r="B29" s="100"/>
      <c r="C29" s="98"/>
      <c r="D29" s="98"/>
      <c r="E29" s="147"/>
      <c r="F29" s="151">
        <f>1/5</f>
        <v>0.2</v>
      </c>
      <c r="G29" s="151"/>
      <c r="H29" s="163"/>
      <c r="I29" s="163"/>
      <c r="J29" s="164">
        <f aca="true" t="shared" si="5" ref="J29:P29">J28/1936.27</f>
        <v>516.6970515475631</v>
      </c>
      <c r="K29" s="164">
        <f t="shared" si="5"/>
        <v>522.1064211086264</v>
      </c>
      <c r="L29" s="164">
        <f t="shared" si="5"/>
        <v>524.7790855614145</v>
      </c>
      <c r="M29" s="164">
        <f t="shared" si="5"/>
        <v>526.8934601062869</v>
      </c>
      <c r="N29" s="164">
        <f t="shared" si="5"/>
        <v>530.368182123361</v>
      </c>
      <c r="O29" s="164">
        <f t="shared" si="5"/>
        <v>533.3001079394919</v>
      </c>
      <c r="P29" s="164">
        <f t="shared" si="5"/>
        <v>537.6801789006698</v>
      </c>
      <c r="Q29" s="160"/>
      <c r="R29" s="147"/>
      <c r="S29" s="147"/>
      <c r="T29" s="147"/>
      <c r="U29" s="147"/>
    </row>
    <row r="30" spans="2:21" ht="12" hidden="1">
      <c r="B30" s="100"/>
      <c r="C30" s="98"/>
      <c r="D30" s="98"/>
      <c r="E30" s="147"/>
      <c r="F30" s="151"/>
      <c r="G30" s="151"/>
      <c r="H30" s="163"/>
      <c r="I30" s="163"/>
      <c r="J30" s="171"/>
      <c r="K30" s="168"/>
      <c r="L30" s="90"/>
      <c r="M30" s="90"/>
      <c r="N30" s="90"/>
      <c r="O30" s="90"/>
      <c r="P30" s="90"/>
      <c r="Q30" s="160"/>
      <c r="R30" s="147"/>
      <c r="S30" s="147"/>
      <c r="T30" s="147"/>
      <c r="U30" s="147"/>
    </row>
    <row r="31" spans="2:21" ht="12" hidden="1">
      <c r="B31" s="100"/>
      <c r="C31" s="98"/>
      <c r="D31" s="98"/>
      <c r="E31" s="147"/>
      <c r="F31" s="151"/>
      <c r="G31" s="151"/>
      <c r="H31" s="163"/>
      <c r="I31" s="163"/>
      <c r="J31" s="171"/>
      <c r="K31" s="168"/>
      <c r="L31" s="90"/>
      <c r="M31" s="90"/>
      <c r="N31" s="90"/>
      <c r="O31" s="90"/>
      <c r="P31" s="90"/>
      <c r="Q31" s="160"/>
      <c r="R31" s="147"/>
      <c r="S31" s="147"/>
      <c r="T31" s="147"/>
      <c r="U31" s="147"/>
    </row>
    <row r="32" spans="2:21" ht="11.25" hidden="1">
      <c r="B32" s="147"/>
      <c r="C32" s="147"/>
      <c r="D32" s="147"/>
      <c r="E32" s="147"/>
      <c r="F32" s="161"/>
      <c r="G32" s="162"/>
      <c r="H32" s="163"/>
      <c r="I32" s="172"/>
      <c r="J32" s="171"/>
      <c r="K32" s="90"/>
      <c r="L32" s="90"/>
      <c r="M32" s="90"/>
      <c r="N32" s="90"/>
      <c r="O32" s="90"/>
      <c r="P32" s="90"/>
      <c r="Q32" s="160"/>
      <c r="R32" s="147"/>
      <c r="S32" s="147"/>
      <c r="T32" s="147"/>
      <c r="U32" s="147"/>
    </row>
    <row r="33" spans="2:21" s="173" customFormat="1" ht="38.25" customHeight="1" hidden="1">
      <c r="B33" s="174"/>
      <c r="C33" s="175"/>
      <c r="D33" s="174"/>
      <c r="E33" s="174"/>
      <c r="F33" s="176" t="s">
        <v>407</v>
      </c>
      <c r="G33" s="176" t="s">
        <v>408</v>
      </c>
      <c r="H33" s="177" t="s">
        <v>409</v>
      </c>
      <c r="I33" s="176" t="s">
        <v>410</v>
      </c>
      <c r="J33" s="178"/>
      <c r="K33" s="179"/>
      <c r="L33" s="179"/>
      <c r="M33" s="179"/>
      <c r="N33" s="179"/>
      <c r="O33" s="90"/>
      <c r="P33" s="90"/>
      <c r="Q33" s="160"/>
      <c r="R33" s="147"/>
      <c r="S33" s="174"/>
      <c r="T33" s="174"/>
      <c r="U33" s="174"/>
    </row>
    <row r="34" spans="1:21" s="173" customFormat="1" ht="25.5" customHeight="1" hidden="1">
      <c r="A34" s="173" t="s">
        <v>447</v>
      </c>
      <c r="B34" s="174"/>
      <c r="C34" s="180" t="s">
        <v>411</v>
      </c>
      <c r="D34" s="181" t="s">
        <v>412</v>
      </c>
      <c r="E34" s="182" t="s">
        <v>413</v>
      </c>
      <c r="F34" s="183" t="s">
        <v>414</v>
      </c>
      <c r="G34" s="184" t="s">
        <v>415</v>
      </c>
      <c r="H34" s="185" t="s">
        <v>415</v>
      </c>
      <c r="I34" s="186" t="s">
        <v>415</v>
      </c>
      <c r="J34" s="178"/>
      <c r="K34" s="179"/>
      <c r="L34" s="179"/>
      <c r="M34" s="179"/>
      <c r="N34" s="179"/>
      <c r="O34" s="179"/>
      <c r="P34" s="179"/>
      <c r="Q34" s="187"/>
      <c r="R34" s="174"/>
      <c r="S34" s="174"/>
      <c r="T34" s="174"/>
      <c r="U34" s="174"/>
    </row>
    <row r="35" spans="2:21" s="173" customFormat="1" ht="18" customHeight="1" hidden="1" thickBot="1">
      <c r="B35" s="174">
        <v>1</v>
      </c>
      <c r="C35" s="188" t="s">
        <v>416</v>
      </c>
      <c r="D35" s="188"/>
      <c r="E35" s="188"/>
      <c r="F35" s="189"/>
      <c r="G35" s="190"/>
      <c r="H35" s="190"/>
      <c r="I35" s="190"/>
      <c r="J35" s="178"/>
      <c r="K35" s="179"/>
      <c r="L35" s="179"/>
      <c r="M35" s="179"/>
      <c r="N35" s="179"/>
      <c r="O35" s="179"/>
      <c r="P35" s="179" t="s">
        <v>126</v>
      </c>
      <c r="Q35" s="187"/>
      <c r="R35" s="174"/>
      <c r="S35" s="174"/>
      <c r="T35" s="174"/>
      <c r="U35" s="174"/>
    </row>
    <row r="36" spans="1:21" ht="18" customHeight="1" hidden="1" thickBot="1">
      <c r="A36" s="148" t="str">
        <f>C36&amp;$A$34&amp;D36&amp;$A$34&amp;E36</f>
        <v>A-COMANDANTE-Comandante</v>
      </c>
      <c r="B36" s="147">
        <v>2</v>
      </c>
      <c r="C36" s="191" t="s">
        <v>392</v>
      </c>
      <c r="D36" s="192" t="s">
        <v>417</v>
      </c>
      <c r="E36" s="193" t="s">
        <v>149</v>
      </c>
      <c r="F36" s="194">
        <v>447.25</v>
      </c>
      <c r="G36" s="195">
        <v>204.90479117065286</v>
      </c>
      <c r="H36" s="194">
        <v>364.02</v>
      </c>
      <c r="I36" s="195">
        <v>176.09949446616451</v>
      </c>
      <c r="J36" s="196" t="str">
        <f>CONCATENATE(C36,"      ",D36," ………….…………...……..……………………………………………….. ",E36)</f>
        <v>A      COMANDANTE ………….…………...……..……………………………………………….. Comandante</v>
      </c>
      <c r="K36" s="197"/>
      <c r="L36" s="197"/>
      <c r="M36" s="197"/>
      <c r="N36" s="197"/>
      <c r="O36" s="197"/>
      <c r="P36" s="147">
        <v>30</v>
      </c>
      <c r="Q36" s="179">
        <v>62</v>
      </c>
      <c r="R36" s="160"/>
      <c r="S36" s="147">
        <v>30</v>
      </c>
      <c r="T36" s="179">
        <v>65</v>
      </c>
      <c r="U36" s="147"/>
    </row>
    <row r="37" spans="1:21" ht="18" customHeight="1" hidden="1" thickBot="1">
      <c r="A37" s="148" t="str">
        <f aca="true" t="shared" si="6" ref="A37:A100">C37&amp;$A$34&amp;D37&amp;$A$34&amp;E37</f>
        <v>A-COMANDANTE-Ex profilo non previsto</v>
      </c>
      <c r="B37" s="174">
        <v>3</v>
      </c>
      <c r="C37" s="198" t="s">
        <v>392</v>
      </c>
      <c r="D37" s="199" t="s">
        <v>417</v>
      </c>
      <c r="E37" s="200" t="s">
        <v>374</v>
      </c>
      <c r="F37" s="201">
        <v>447.25</v>
      </c>
      <c r="G37" s="202">
        <v>204.90479117065286</v>
      </c>
      <c r="H37" s="201">
        <v>364.02</v>
      </c>
      <c r="I37" s="202">
        <v>176.09949446616451</v>
      </c>
      <c r="J37" s="196" t="str">
        <f>CONCATENATE(C37,"      ",D37,E37)</f>
        <v>A      COMANDANTEEx profilo non previsto</v>
      </c>
      <c r="K37" s="197"/>
      <c r="L37" s="197"/>
      <c r="M37" s="197"/>
      <c r="N37" s="197"/>
      <c r="O37" s="197"/>
      <c r="P37" s="147">
        <v>30</v>
      </c>
      <c r="Q37" s="90">
        <v>62</v>
      </c>
      <c r="R37" s="160"/>
      <c r="S37" s="147">
        <v>30</v>
      </c>
      <c r="T37" s="90">
        <v>65</v>
      </c>
      <c r="U37" s="147"/>
    </row>
    <row r="38" spans="1:21" ht="18" customHeight="1" hidden="1" thickBot="1">
      <c r="A38" s="148" t="str">
        <f t="shared" si="6"/>
        <v>A-DIRETTORE DI MACCHINA-Direttore di Macchina</v>
      </c>
      <c r="B38" s="147">
        <v>4</v>
      </c>
      <c r="C38" s="203" t="s">
        <v>392</v>
      </c>
      <c r="D38" s="204" t="s">
        <v>418</v>
      </c>
      <c r="E38" s="205" t="s">
        <v>151</v>
      </c>
      <c r="F38" s="206">
        <v>459.13</v>
      </c>
      <c r="G38" s="207">
        <v>204.90479117065286</v>
      </c>
      <c r="H38" s="206">
        <v>329.02</v>
      </c>
      <c r="I38" s="207">
        <v>176.09949446616451</v>
      </c>
      <c r="J38" s="196" t="str">
        <f>CONCATENATE(C38,"      ",D38," …….….…………………………………………………..  ",E38)</f>
        <v>A      DIRETTORE DI MACCHINA …….….…………………………………………………..  Direttore di Macchina</v>
      </c>
      <c r="K38" s="197"/>
      <c r="L38" s="197"/>
      <c r="M38" s="197"/>
      <c r="N38" s="197"/>
      <c r="O38" s="197"/>
      <c r="P38" s="147">
        <v>30</v>
      </c>
      <c r="Q38" s="90">
        <v>62</v>
      </c>
      <c r="R38" s="160"/>
      <c r="S38" s="147">
        <v>30</v>
      </c>
      <c r="T38" s="90">
        <v>65</v>
      </c>
      <c r="U38" s="147"/>
    </row>
    <row r="39" spans="1:21" ht="18" customHeight="1" hidden="1" thickBot="1">
      <c r="A39" s="148" t="str">
        <f t="shared" si="6"/>
        <v>A-DIRETTORE DI MACCHINA-Ex profilo non previsto</v>
      </c>
      <c r="B39" s="174">
        <v>5</v>
      </c>
      <c r="C39" s="203" t="s">
        <v>392</v>
      </c>
      <c r="D39" s="204" t="s">
        <v>418</v>
      </c>
      <c r="E39" s="200" t="s">
        <v>374</v>
      </c>
      <c r="F39" s="206">
        <v>459.13</v>
      </c>
      <c r="G39" s="207">
        <v>204.90479117065286</v>
      </c>
      <c r="H39" s="206">
        <v>329.02</v>
      </c>
      <c r="I39" s="207">
        <v>176.09949446616451</v>
      </c>
      <c r="J39" s="196" t="str">
        <f>CONCATENATE(C39,"      ",D39," …….….…………………………………………………..  ",E39)</f>
        <v>A      DIRETTORE DI MACCHINA …….….…………………………………………………..  Ex profilo non previsto</v>
      </c>
      <c r="K39" s="197"/>
      <c r="L39" s="197"/>
      <c r="M39" s="197"/>
      <c r="N39" s="197"/>
      <c r="O39" s="197"/>
      <c r="P39" s="147">
        <v>30</v>
      </c>
      <c r="Q39" s="90">
        <v>62</v>
      </c>
      <c r="R39" s="160"/>
      <c r="S39" s="147">
        <v>30</v>
      </c>
      <c r="T39" s="90">
        <v>65</v>
      </c>
      <c r="U39" s="147"/>
    </row>
    <row r="40" spans="1:21" ht="18" customHeight="1" hidden="1" thickBot="1">
      <c r="A40" s="148" t="str">
        <f t="shared" si="6"/>
        <v>A-PROFESSIONAL SENIOR -Capo Settore Controlleria</v>
      </c>
      <c r="B40" s="147">
        <v>6</v>
      </c>
      <c r="C40" s="203" t="s">
        <v>392</v>
      </c>
      <c r="D40" s="204" t="s">
        <v>419</v>
      </c>
      <c r="E40" s="205" t="s">
        <v>152</v>
      </c>
      <c r="F40" s="206">
        <v>188.51</v>
      </c>
      <c r="G40" s="207">
        <v>204.90479117065286</v>
      </c>
      <c r="H40" s="206">
        <v>329.02</v>
      </c>
      <c r="I40" s="207">
        <v>176.09949446616451</v>
      </c>
      <c r="J40" s="196" t="str">
        <f aca="true" t="shared" si="7" ref="J40:J47">CONCATENATE(C40,"      ",D40," ………….….…………..…………………………………….. ",E40)</f>
        <v>A      PROFESSIONAL SENIOR  ………….….…………..…………………………………….. Capo Settore Controlleria</v>
      </c>
      <c r="K40" s="197"/>
      <c r="L40" s="197"/>
      <c r="M40" s="197"/>
      <c r="N40" s="197"/>
      <c r="O40" s="197"/>
      <c r="P40" s="147">
        <v>30</v>
      </c>
      <c r="Q40" s="179">
        <v>65</v>
      </c>
      <c r="R40" s="160"/>
      <c r="S40" s="147">
        <v>30</v>
      </c>
      <c r="T40" s="179">
        <v>65</v>
      </c>
      <c r="U40" s="147"/>
    </row>
    <row r="41" spans="1:21" ht="18" customHeight="1" hidden="1" thickBot="1">
      <c r="A41" s="148" t="str">
        <f t="shared" si="6"/>
        <v>A-PROFESSIONAL SENIOR -Capo Settore Gestioni</v>
      </c>
      <c r="B41" s="174">
        <v>7</v>
      </c>
      <c r="C41" s="203" t="s">
        <v>392</v>
      </c>
      <c r="D41" s="204" t="s">
        <v>419</v>
      </c>
      <c r="E41" s="205" t="s">
        <v>153</v>
      </c>
      <c r="F41" s="206">
        <v>177.66</v>
      </c>
      <c r="G41" s="207">
        <v>204.90479117065286</v>
      </c>
      <c r="H41" s="206">
        <v>329.02</v>
      </c>
      <c r="I41" s="207">
        <v>176.09949446616451</v>
      </c>
      <c r="J41" s="196" t="str">
        <f t="shared" si="7"/>
        <v>A      PROFESSIONAL SENIOR  ………….….…………..…………………………………….. Capo Settore Gestioni</v>
      </c>
      <c r="K41" s="197"/>
      <c r="L41" s="197"/>
      <c r="M41" s="197"/>
      <c r="N41" s="197"/>
      <c r="O41" s="197"/>
      <c r="P41" s="147">
        <v>30</v>
      </c>
      <c r="Q41" s="90">
        <v>65</v>
      </c>
      <c r="R41" s="160"/>
      <c r="S41" s="147">
        <v>30</v>
      </c>
      <c r="T41" s="90">
        <v>65</v>
      </c>
      <c r="U41" s="147"/>
    </row>
    <row r="42" spans="1:21" ht="18" customHeight="1" hidden="1" thickBot="1">
      <c r="A42" s="148" t="str">
        <f t="shared" si="6"/>
        <v>A-PROFESSIONAL SENIOR -Capo Settore Macchina</v>
      </c>
      <c r="B42" s="147">
        <v>8</v>
      </c>
      <c r="C42" s="203" t="s">
        <v>392</v>
      </c>
      <c r="D42" s="204" t="s">
        <v>419</v>
      </c>
      <c r="E42" s="205" t="s">
        <v>154</v>
      </c>
      <c r="F42" s="206">
        <v>191.61</v>
      </c>
      <c r="G42" s="207">
        <v>273.5935587495546</v>
      </c>
      <c r="H42" s="206">
        <v>329.02</v>
      </c>
      <c r="I42" s="207">
        <v>176.09949446616451</v>
      </c>
      <c r="J42" s="196" t="str">
        <f t="shared" si="7"/>
        <v>A      PROFESSIONAL SENIOR  ………….….…………..…………………………………….. Capo Settore Macchina</v>
      </c>
      <c r="K42" s="197"/>
      <c r="L42" s="197"/>
      <c r="M42" s="197"/>
      <c r="N42" s="197"/>
      <c r="O42" s="197"/>
      <c r="P42" s="147">
        <v>30</v>
      </c>
      <c r="Q42" s="90">
        <v>65</v>
      </c>
      <c r="R42" s="160"/>
      <c r="S42" s="147">
        <v>30</v>
      </c>
      <c r="T42" s="90">
        <v>65</v>
      </c>
      <c r="U42" s="147"/>
    </row>
    <row r="43" spans="1:21" ht="18" customHeight="1" hidden="1" thickBot="1">
      <c r="A43" s="148" t="str">
        <f t="shared" si="6"/>
        <v>A-PROFESSIONAL SENIOR -Capo Settore Stazioni</v>
      </c>
      <c r="B43" s="174">
        <v>9</v>
      </c>
      <c r="C43" s="203" t="s">
        <v>392</v>
      </c>
      <c r="D43" s="204" t="s">
        <v>419</v>
      </c>
      <c r="E43" s="205" t="s">
        <v>47</v>
      </c>
      <c r="F43" s="206">
        <v>189.54</v>
      </c>
      <c r="G43" s="207">
        <v>204.90479117065286</v>
      </c>
      <c r="H43" s="206">
        <v>329.02</v>
      </c>
      <c r="I43" s="207">
        <v>176.09949446616451</v>
      </c>
      <c r="J43" s="196" t="str">
        <f t="shared" si="7"/>
        <v>A      PROFESSIONAL SENIOR  ………….….…………..…………………………………….. Capo Settore Stazioni</v>
      </c>
      <c r="K43" s="197"/>
      <c r="L43" s="197"/>
      <c r="M43" s="197"/>
      <c r="N43" s="197"/>
      <c r="O43" s="197"/>
      <c r="P43" s="147">
        <v>30</v>
      </c>
      <c r="Q43" s="90">
        <v>65</v>
      </c>
      <c r="R43" s="160"/>
      <c r="S43" s="147">
        <v>30</v>
      </c>
      <c r="T43" s="90">
        <v>65</v>
      </c>
      <c r="U43" s="147"/>
    </row>
    <row r="44" spans="1:21" ht="18" customHeight="1" hidden="1" thickBot="1">
      <c r="A44" s="148" t="str">
        <f t="shared" si="6"/>
        <v>A-PROFESSIONAL SENIOR -Capo Settore Tecnico</v>
      </c>
      <c r="B44" s="147">
        <v>10</v>
      </c>
      <c r="C44" s="203" t="s">
        <v>392</v>
      </c>
      <c r="D44" s="204" t="s">
        <v>419</v>
      </c>
      <c r="E44" s="205" t="s">
        <v>155</v>
      </c>
      <c r="F44" s="206">
        <v>189.54</v>
      </c>
      <c r="G44" s="207">
        <v>204.90479117065286</v>
      </c>
      <c r="H44" s="206">
        <v>329.02</v>
      </c>
      <c r="I44" s="207">
        <v>176.09949446616451</v>
      </c>
      <c r="J44" s="196" t="str">
        <f t="shared" si="7"/>
        <v>A      PROFESSIONAL SENIOR  ………….….…………..…………………………………….. Capo Settore Tecnico</v>
      </c>
      <c r="K44" s="197"/>
      <c r="L44" s="197"/>
      <c r="M44" s="197"/>
      <c r="N44" s="197"/>
      <c r="O44" s="197"/>
      <c r="P44" s="147">
        <v>30</v>
      </c>
      <c r="Q44" s="179">
        <v>65</v>
      </c>
      <c r="R44" s="160"/>
      <c r="S44" s="147">
        <v>30</v>
      </c>
      <c r="T44" s="179">
        <v>65</v>
      </c>
      <c r="U44" s="147"/>
    </row>
    <row r="45" spans="1:21" ht="18" customHeight="1" hidden="1" thickBot="1">
      <c r="A45" s="148" t="str">
        <f t="shared" si="6"/>
        <v>A-PROFESSIONAL SENIOR -Capo Settore Uffici</v>
      </c>
      <c r="B45" s="174">
        <v>11</v>
      </c>
      <c r="C45" s="203" t="s">
        <v>392</v>
      </c>
      <c r="D45" s="204" t="s">
        <v>419</v>
      </c>
      <c r="E45" s="205" t="s">
        <v>156</v>
      </c>
      <c r="F45" s="206">
        <v>178.69</v>
      </c>
      <c r="G45" s="207">
        <v>204.90479117065286</v>
      </c>
      <c r="H45" s="206">
        <v>329.02</v>
      </c>
      <c r="I45" s="207">
        <v>176.09949446616451</v>
      </c>
      <c r="J45" s="196" t="str">
        <f t="shared" si="7"/>
        <v>A      PROFESSIONAL SENIOR  ………….….…………..…………………………………….. Capo Settore Uffici</v>
      </c>
      <c r="K45" s="197"/>
      <c r="L45" s="197"/>
      <c r="M45" s="197"/>
      <c r="N45" s="197"/>
      <c r="O45" s="197"/>
      <c r="P45" s="147">
        <v>30</v>
      </c>
      <c r="Q45" s="90">
        <v>65</v>
      </c>
      <c r="R45" s="160"/>
      <c r="S45" s="147">
        <v>30</v>
      </c>
      <c r="T45" s="90">
        <v>65</v>
      </c>
      <c r="U45" s="147"/>
    </row>
    <row r="46" spans="1:21" ht="18" customHeight="1" hidden="1" thickBot="1">
      <c r="A46" s="148" t="str">
        <f t="shared" si="6"/>
        <v>A-PROFESSIONAL SENIOR -Capo Settore Viaggiante</v>
      </c>
      <c r="B46" s="147">
        <v>12</v>
      </c>
      <c r="C46" s="203" t="s">
        <v>392</v>
      </c>
      <c r="D46" s="204" t="s">
        <v>419</v>
      </c>
      <c r="E46" s="205" t="s">
        <v>157</v>
      </c>
      <c r="F46" s="206">
        <v>179.21</v>
      </c>
      <c r="G46" s="207">
        <v>204.90479117065286</v>
      </c>
      <c r="H46" s="206">
        <v>329.02</v>
      </c>
      <c r="I46" s="207">
        <v>176.09949446616451</v>
      </c>
      <c r="J46" s="196" t="str">
        <f t="shared" si="7"/>
        <v>A      PROFESSIONAL SENIOR  ………….….…………..…………………………………….. Capo Settore Viaggiante</v>
      </c>
      <c r="K46" s="197"/>
      <c r="L46" s="197"/>
      <c r="M46" s="197"/>
      <c r="N46" s="197"/>
      <c r="O46" s="197"/>
      <c r="P46" s="147">
        <v>30</v>
      </c>
      <c r="Q46" s="90">
        <v>65</v>
      </c>
      <c r="R46" s="160"/>
      <c r="S46" s="147">
        <v>30</v>
      </c>
      <c r="T46" s="90">
        <v>65</v>
      </c>
      <c r="U46" s="147"/>
    </row>
    <row r="47" spans="1:21" ht="18" customHeight="1" hidden="1" thickBot="1">
      <c r="A47" s="148" t="str">
        <f t="shared" si="6"/>
        <v>A-PROFESSIONAL SENIOR -Ispettore Capo Aggiunto</v>
      </c>
      <c r="B47" s="174">
        <v>13</v>
      </c>
      <c r="C47" s="203" t="s">
        <v>392</v>
      </c>
      <c r="D47" s="204" t="s">
        <v>419</v>
      </c>
      <c r="E47" s="205" t="s">
        <v>158</v>
      </c>
      <c r="F47" s="206">
        <v>221.04</v>
      </c>
      <c r="G47" s="207">
        <v>204.90479117065286</v>
      </c>
      <c r="H47" s="206">
        <v>329.02</v>
      </c>
      <c r="I47" s="207">
        <v>176.09949446616451</v>
      </c>
      <c r="J47" s="196" t="str">
        <f t="shared" si="7"/>
        <v>A      PROFESSIONAL SENIOR  ………….….…………..…………………………………….. Ispettore Capo Aggiunto</v>
      </c>
      <c r="K47" s="197"/>
      <c r="L47" s="197"/>
      <c r="M47" s="197"/>
      <c r="N47" s="197"/>
      <c r="O47" s="197"/>
      <c r="P47" s="147">
        <v>30</v>
      </c>
      <c r="Q47" s="90">
        <v>65</v>
      </c>
      <c r="R47" s="160"/>
      <c r="S47" s="147">
        <v>30</v>
      </c>
      <c r="T47" s="90">
        <v>65</v>
      </c>
      <c r="U47" s="147"/>
    </row>
    <row r="48" spans="1:21" ht="18" customHeight="1" hidden="1" thickBot="1">
      <c r="A48" s="148" t="str">
        <f t="shared" si="6"/>
        <v>A-PROFESSIONAL SENIOR -Ex profilo non previsto</v>
      </c>
      <c r="B48" s="147">
        <v>14</v>
      </c>
      <c r="C48" s="203" t="s">
        <v>392</v>
      </c>
      <c r="D48" s="204" t="s">
        <v>419</v>
      </c>
      <c r="E48" s="200" t="s">
        <v>374</v>
      </c>
      <c r="F48" s="206">
        <v>180.21</v>
      </c>
      <c r="G48" s="207">
        <v>204.90479117065286</v>
      </c>
      <c r="H48" s="206">
        <v>329.02</v>
      </c>
      <c r="I48" s="207">
        <v>176.09949446616451</v>
      </c>
      <c r="J48" s="196" t="str">
        <f>CONCATENATE(C48,"      ",D48,E48)</f>
        <v>A      PROFESSIONAL SENIOR Ex profilo non previsto</v>
      </c>
      <c r="K48" s="197"/>
      <c r="L48" s="197"/>
      <c r="M48" s="197"/>
      <c r="N48" s="197"/>
      <c r="O48" s="197"/>
      <c r="P48" s="147">
        <v>30</v>
      </c>
      <c r="Q48" s="179">
        <v>65</v>
      </c>
      <c r="R48" s="160"/>
      <c r="S48" s="147">
        <v>30</v>
      </c>
      <c r="T48" s="179">
        <v>65</v>
      </c>
      <c r="U48" s="147"/>
    </row>
    <row r="49" spans="1:21" ht="18" customHeight="1" hidden="1" thickBot="1">
      <c r="A49" s="148" t="str">
        <f t="shared" si="6"/>
        <v>A-PROFESSIONAL SENIOR (SETTORE MACCHINA)-Ex profilo non previsto</v>
      </c>
      <c r="B49" s="174">
        <v>15</v>
      </c>
      <c r="C49" s="203" t="s">
        <v>392</v>
      </c>
      <c r="D49" s="204" t="s">
        <v>420</v>
      </c>
      <c r="E49" s="200" t="s">
        <v>374</v>
      </c>
      <c r="F49" s="206">
        <v>179.21</v>
      </c>
      <c r="G49" s="207">
        <v>273.5935587495546</v>
      </c>
      <c r="H49" s="206">
        <v>329.02</v>
      </c>
      <c r="I49" s="207">
        <v>176.09949446616451</v>
      </c>
      <c r="J49" s="196" t="str">
        <f>CONCATENATE(C49,"      ",D49,E49)</f>
        <v>A      PROFESSIONAL SENIOR (SETTORE MACCHINA)Ex profilo non previsto</v>
      </c>
      <c r="K49" s="197"/>
      <c r="L49" s="197"/>
      <c r="M49" s="197"/>
      <c r="N49" s="197"/>
      <c r="O49" s="197"/>
      <c r="P49" s="147">
        <v>30</v>
      </c>
      <c r="Q49" s="90">
        <v>65</v>
      </c>
      <c r="R49" s="160"/>
      <c r="S49" s="147">
        <v>30</v>
      </c>
      <c r="T49" s="90">
        <v>65</v>
      </c>
      <c r="U49" s="147"/>
    </row>
    <row r="50" spans="1:21" ht="18" customHeight="1" hidden="1" thickBot="1">
      <c r="A50" s="148" t="str">
        <f t="shared" si="6"/>
        <v>A-RESPONSABILE STRUTTURA OPERATIVA -Capo Settore Controlleria</v>
      </c>
      <c r="B50" s="147">
        <v>16</v>
      </c>
      <c r="C50" s="203" t="s">
        <v>392</v>
      </c>
      <c r="D50" s="204" t="s">
        <v>421</v>
      </c>
      <c r="E50" s="205" t="s">
        <v>152</v>
      </c>
      <c r="F50" s="206">
        <v>188.51</v>
      </c>
      <c r="G50" s="207">
        <v>204.90479117065286</v>
      </c>
      <c r="H50" s="206">
        <v>364.02</v>
      </c>
      <c r="I50" s="207">
        <v>176.09949446616451</v>
      </c>
      <c r="J50" s="196" t="str">
        <f>CONCATENATE(C50,"      ",D50," …….……….……..………….... ",E50)</f>
        <v>A      RESPONSABILE STRUTTURA OPERATIVA  …….……….……..………….... Capo Settore Controlleria</v>
      </c>
      <c r="K50" s="197"/>
      <c r="L50" s="197"/>
      <c r="M50" s="197"/>
      <c r="N50" s="197"/>
      <c r="O50" s="197"/>
      <c r="P50" s="147">
        <v>30</v>
      </c>
      <c r="Q50" s="90">
        <v>65</v>
      </c>
      <c r="R50" s="160"/>
      <c r="S50" s="147">
        <v>30</v>
      </c>
      <c r="T50" s="90">
        <v>65</v>
      </c>
      <c r="U50" s="147"/>
    </row>
    <row r="51" spans="1:21" ht="18" customHeight="1" hidden="1" thickBot="1">
      <c r="A51" s="148" t="str">
        <f t="shared" si="6"/>
        <v>A-RESPONSABILE STRUTTURA OPERATIVA -Capo Settore Gestioni</v>
      </c>
      <c r="B51" s="174">
        <v>17</v>
      </c>
      <c r="C51" s="203" t="s">
        <v>392</v>
      </c>
      <c r="D51" s="204" t="s">
        <v>421</v>
      </c>
      <c r="E51" s="205" t="s">
        <v>153</v>
      </c>
      <c r="F51" s="206">
        <v>177.66</v>
      </c>
      <c r="G51" s="207">
        <v>204.90479117065286</v>
      </c>
      <c r="H51" s="206">
        <v>364.02</v>
      </c>
      <c r="I51" s="207">
        <v>176.09949446616451</v>
      </c>
      <c r="J51" s="196" t="str">
        <f aca="true" t="shared" si="8" ref="J51:J56">CONCATENATE(C51,"      ",D51," …….……….……..………….... ",E51)</f>
        <v>A      RESPONSABILE STRUTTURA OPERATIVA  …….……….……..………….... Capo Settore Gestioni</v>
      </c>
      <c r="K51" s="197"/>
      <c r="L51" s="197"/>
      <c r="M51" s="197"/>
      <c r="N51" s="197"/>
      <c r="O51" s="197"/>
      <c r="P51" s="147">
        <v>30</v>
      </c>
      <c r="Q51" s="90">
        <v>65</v>
      </c>
      <c r="R51" s="160"/>
      <c r="S51" s="147">
        <v>30</v>
      </c>
      <c r="T51" s="90">
        <v>65</v>
      </c>
      <c r="U51" s="147"/>
    </row>
    <row r="52" spans="1:21" ht="18" customHeight="1" hidden="1" thickBot="1">
      <c r="A52" s="148" t="str">
        <f t="shared" si="6"/>
        <v>A-RESPONSABILE STRUTTURA OPERATIVA -Capo Settore Macchina</v>
      </c>
      <c r="B52" s="147">
        <v>18</v>
      </c>
      <c r="C52" s="203" t="s">
        <v>392</v>
      </c>
      <c r="D52" s="204" t="s">
        <v>421</v>
      </c>
      <c r="E52" s="205" t="s">
        <v>154</v>
      </c>
      <c r="F52" s="206">
        <v>191.61</v>
      </c>
      <c r="G52" s="207">
        <v>273.5935587495546</v>
      </c>
      <c r="H52" s="206">
        <v>364.02</v>
      </c>
      <c r="I52" s="207">
        <v>176.09949446616451</v>
      </c>
      <c r="J52" s="196" t="str">
        <f t="shared" si="8"/>
        <v>A      RESPONSABILE STRUTTURA OPERATIVA  …….……….……..………….... Capo Settore Macchina</v>
      </c>
      <c r="K52" s="197"/>
      <c r="L52" s="197"/>
      <c r="M52" s="197"/>
      <c r="N52" s="197"/>
      <c r="O52" s="197"/>
      <c r="P52" s="147">
        <v>30</v>
      </c>
      <c r="Q52" s="179">
        <v>65</v>
      </c>
      <c r="R52" s="160"/>
      <c r="S52" s="147">
        <v>30</v>
      </c>
      <c r="T52" s="179">
        <v>65</v>
      </c>
      <c r="U52" s="147"/>
    </row>
    <row r="53" spans="1:21" ht="18" customHeight="1" hidden="1" thickBot="1">
      <c r="A53" s="148" t="str">
        <f t="shared" si="6"/>
        <v>A-RESPONSABILE STRUTTURA OPERATIVA -Capo Settore Stazioni</v>
      </c>
      <c r="B53" s="174">
        <v>19</v>
      </c>
      <c r="C53" s="203" t="s">
        <v>392</v>
      </c>
      <c r="D53" s="204" t="s">
        <v>421</v>
      </c>
      <c r="E53" s="205" t="s">
        <v>47</v>
      </c>
      <c r="F53" s="206">
        <v>189.54</v>
      </c>
      <c r="G53" s="207">
        <v>204.90479117065286</v>
      </c>
      <c r="H53" s="206">
        <v>364.02</v>
      </c>
      <c r="I53" s="207">
        <v>176.09949446616451</v>
      </c>
      <c r="J53" s="196" t="str">
        <f t="shared" si="8"/>
        <v>A      RESPONSABILE STRUTTURA OPERATIVA  …….……….……..………….... Capo Settore Stazioni</v>
      </c>
      <c r="K53" s="197"/>
      <c r="L53" s="197"/>
      <c r="M53" s="197"/>
      <c r="N53" s="197"/>
      <c r="O53" s="197"/>
      <c r="P53" s="147">
        <v>30</v>
      </c>
      <c r="Q53" s="90">
        <v>65</v>
      </c>
      <c r="R53" s="160"/>
      <c r="S53" s="147">
        <v>30</v>
      </c>
      <c r="T53" s="90">
        <v>65</v>
      </c>
      <c r="U53" s="147"/>
    </row>
    <row r="54" spans="1:21" ht="18" customHeight="1" hidden="1" thickBot="1">
      <c r="A54" s="148" t="str">
        <f t="shared" si="6"/>
        <v>A-RESPONSABILE STRUTTURA OPERATIVA -Capo Settore Tecnico</v>
      </c>
      <c r="B54" s="147">
        <v>20</v>
      </c>
      <c r="C54" s="203" t="s">
        <v>392</v>
      </c>
      <c r="D54" s="204" t="s">
        <v>421</v>
      </c>
      <c r="E54" s="205" t="s">
        <v>155</v>
      </c>
      <c r="F54" s="206">
        <v>189.54</v>
      </c>
      <c r="G54" s="207">
        <v>204.90479117065286</v>
      </c>
      <c r="H54" s="206">
        <v>364.02</v>
      </c>
      <c r="I54" s="207">
        <v>176.09949446616451</v>
      </c>
      <c r="J54" s="196" t="str">
        <f t="shared" si="8"/>
        <v>A      RESPONSABILE STRUTTURA OPERATIVA  …….……….……..………….... Capo Settore Tecnico</v>
      </c>
      <c r="K54" s="197"/>
      <c r="L54" s="197"/>
      <c r="M54" s="197"/>
      <c r="N54" s="197"/>
      <c r="O54" s="197"/>
      <c r="P54" s="147">
        <v>30</v>
      </c>
      <c r="Q54" s="90">
        <v>65</v>
      </c>
      <c r="R54" s="160"/>
      <c r="S54" s="147">
        <v>30</v>
      </c>
      <c r="T54" s="90">
        <v>65</v>
      </c>
      <c r="U54" s="147"/>
    </row>
    <row r="55" spans="1:21" ht="18" customHeight="1" hidden="1" thickBot="1">
      <c r="A55" s="148" t="str">
        <f t="shared" si="6"/>
        <v>A-RESPONSABILE STRUTTURA OPERATIVA -Capo Settore Uffici</v>
      </c>
      <c r="B55" s="174">
        <v>21</v>
      </c>
      <c r="C55" s="203" t="s">
        <v>392</v>
      </c>
      <c r="D55" s="204" t="s">
        <v>421</v>
      </c>
      <c r="E55" s="205" t="s">
        <v>156</v>
      </c>
      <c r="F55" s="206">
        <v>178.69</v>
      </c>
      <c r="G55" s="207">
        <v>204.90479117065286</v>
      </c>
      <c r="H55" s="206">
        <v>364.02</v>
      </c>
      <c r="I55" s="207">
        <v>176.09949446616451</v>
      </c>
      <c r="J55" s="196" t="str">
        <f t="shared" si="8"/>
        <v>A      RESPONSABILE STRUTTURA OPERATIVA  …….……….……..………….... Capo Settore Uffici</v>
      </c>
      <c r="K55" s="197"/>
      <c r="L55" s="197"/>
      <c r="M55" s="197"/>
      <c r="N55" s="197"/>
      <c r="O55" s="197"/>
      <c r="P55" s="147">
        <v>30</v>
      </c>
      <c r="Q55" s="90">
        <v>65</v>
      </c>
      <c r="R55" s="160"/>
      <c r="S55" s="147">
        <v>30</v>
      </c>
      <c r="T55" s="90">
        <v>65</v>
      </c>
      <c r="U55" s="147"/>
    </row>
    <row r="56" spans="1:21" ht="18" customHeight="1" hidden="1" thickBot="1">
      <c r="A56" s="148" t="str">
        <f t="shared" si="6"/>
        <v>A-RESPONSABILE STRUTTURA OPERATIVA -Capo Settore Viaggiante</v>
      </c>
      <c r="B56" s="147">
        <v>22</v>
      </c>
      <c r="C56" s="208" t="s">
        <v>392</v>
      </c>
      <c r="D56" s="209" t="s">
        <v>421</v>
      </c>
      <c r="E56" s="205" t="s">
        <v>157</v>
      </c>
      <c r="F56" s="210">
        <v>179.21</v>
      </c>
      <c r="G56" s="211">
        <v>204.90479117065286</v>
      </c>
      <c r="H56" s="210">
        <v>364.02</v>
      </c>
      <c r="I56" s="211">
        <v>176.09949446616451</v>
      </c>
      <c r="J56" s="196" t="str">
        <f t="shared" si="8"/>
        <v>A      RESPONSABILE STRUTTURA OPERATIVA  …….……….……..………….... Capo Settore Viaggiante</v>
      </c>
      <c r="K56" s="197"/>
      <c r="L56" s="197"/>
      <c r="M56" s="197"/>
      <c r="N56" s="197"/>
      <c r="O56" s="197"/>
      <c r="P56" s="147">
        <v>30</v>
      </c>
      <c r="Q56" s="179">
        <v>65</v>
      </c>
      <c r="R56" s="160"/>
      <c r="S56" s="147">
        <v>30</v>
      </c>
      <c r="T56" s="179">
        <v>65</v>
      </c>
      <c r="U56" s="147"/>
    </row>
    <row r="57" spans="1:21" ht="18" customHeight="1" hidden="1" thickBot="1">
      <c r="A57" s="148" t="str">
        <f t="shared" si="6"/>
        <v>B-PRIMO UFFICIALE-Primo ufficiale Marconista</v>
      </c>
      <c r="B57" s="174">
        <v>23</v>
      </c>
      <c r="C57" s="212" t="s">
        <v>393</v>
      </c>
      <c r="D57" s="199" t="s">
        <v>422</v>
      </c>
      <c r="E57" s="205" t="s">
        <v>159</v>
      </c>
      <c r="F57" s="201">
        <v>359.45</v>
      </c>
      <c r="G57" s="202">
        <v>152.04542754884392</v>
      </c>
      <c r="H57" s="201">
        <v>279.1</v>
      </c>
      <c r="I57" s="202">
        <v>144.01662544479836</v>
      </c>
      <c r="J57" s="196" t="str">
        <f>CONCATENATE(C57,"      ",D57," ………....….….…………………………………………………………. ",E57)</f>
        <v>B      PRIMO UFFICIALE ………....….….…………………………………………………………. Primo ufficiale Marconista</v>
      </c>
      <c r="K57" s="197"/>
      <c r="L57" s="197"/>
      <c r="M57" s="197"/>
      <c r="N57" s="197"/>
      <c r="O57" s="197"/>
      <c r="P57" s="147">
        <v>30</v>
      </c>
      <c r="Q57" s="147">
        <v>65</v>
      </c>
      <c r="R57" s="160"/>
      <c r="S57" s="147">
        <v>30</v>
      </c>
      <c r="T57" s="147">
        <v>65</v>
      </c>
      <c r="U57" s="147"/>
    </row>
    <row r="58" spans="1:21" ht="18" customHeight="1" hidden="1" thickBot="1">
      <c r="A58" s="148" t="str">
        <f t="shared" si="6"/>
        <v>B-PRIMO UFFICIALE DI MACCHINA-Primo ufficiale di Macchina</v>
      </c>
      <c r="B58" s="147">
        <v>24</v>
      </c>
      <c r="C58" s="213" t="s">
        <v>393</v>
      </c>
      <c r="D58" s="204" t="s">
        <v>423</v>
      </c>
      <c r="E58" s="205" t="s">
        <v>160</v>
      </c>
      <c r="F58" s="206">
        <v>346.03</v>
      </c>
      <c r="G58" s="207">
        <v>152.04542754884392</v>
      </c>
      <c r="H58" s="206">
        <v>279.1</v>
      </c>
      <c r="I58" s="207">
        <v>144.01662544479836</v>
      </c>
      <c r="J58" s="196" t="str">
        <f>CONCATENATE(C58,"      ",D58,"…….….………………………………………….. ",E58)</f>
        <v>B      PRIMO UFFICIALE DI MACCHINA…….….………………………………………….. Primo ufficiale di Macchina</v>
      </c>
      <c r="K58" s="197"/>
      <c r="L58" s="197"/>
      <c r="M58" s="197"/>
      <c r="N58" s="197"/>
      <c r="O58" s="197"/>
      <c r="P58" s="147">
        <v>30</v>
      </c>
      <c r="Q58" s="147">
        <v>65</v>
      </c>
      <c r="R58" s="160"/>
      <c r="S58" s="147">
        <v>30</v>
      </c>
      <c r="T58" s="147">
        <v>65</v>
      </c>
      <c r="U58" s="147"/>
    </row>
    <row r="59" spans="1:21" ht="18" customHeight="1" hidden="1" thickBot="1">
      <c r="A59" s="148" t="str">
        <f t="shared" si="6"/>
        <v>B-PRIMO UFFICIALE NAVALE-Primo Ufficiale Navale</v>
      </c>
      <c r="B59" s="174">
        <v>25</v>
      </c>
      <c r="C59" s="213" t="s">
        <v>393</v>
      </c>
      <c r="D59" s="204" t="s">
        <v>424</v>
      </c>
      <c r="E59" s="205" t="s">
        <v>161</v>
      </c>
      <c r="F59" s="206">
        <v>347.06</v>
      </c>
      <c r="G59" s="207">
        <v>152.04542754884392</v>
      </c>
      <c r="H59" s="206">
        <v>249.1</v>
      </c>
      <c r="I59" s="207">
        <v>144.01662544479836</v>
      </c>
      <c r="J59" s="196" t="str">
        <f>CONCATENATE(C59,"      ",D59,".………....……...………...………………………………. ",E59)</f>
        <v>B      PRIMO UFFICIALE NAVALE.………....……...………...………………………………. Primo Ufficiale Navale</v>
      </c>
      <c r="K59" s="197"/>
      <c r="L59" s="197"/>
      <c r="M59" s="197"/>
      <c r="N59" s="197"/>
      <c r="O59" s="197"/>
      <c r="P59" s="147">
        <v>30</v>
      </c>
      <c r="Q59" s="147">
        <v>65</v>
      </c>
      <c r="R59" s="160"/>
      <c r="S59" s="147">
        <v>30</v>
      </c>
      <c r="T59" s="147">
        <v>65</v>
      </c>
      <c r="U59" s="147"/>
    </row>
    <row r="60" spans="1:21" ht="18" customHeight="1" hidden="1" thickBot="1">
      <c r="A60" s="148" t="str">
        <f t="shared" si="6"/>
        <v>B-PROFESSIONAL -Capo Deposito Sovrintendente</v>
      </c>
      <c r="B60" s="147">
        <v>26</v>
      </c>
      <c r="C60" s="213" t="s">
        <v>393</v>
      </c>
      <c r="D60" s="204" t="s">
        <v>425</v>
      </c>
      <c r="E60" s="205" t="s">
        <v>162</v>
      </c>
      <c r="F60" s="206">
        <v>145.12</v>
      </c>
      <c r="G60" s="207">
        <v>220.7341951277456</v>
      </c>
      <c r="H60" s="206">
        <v>279.1</v>
      </c>
      <c r="I60" s="207">
        <v>144.01662544479836</v>
      </c>
      <c r="J60" s="196" t="str">
        <f>CONCATENATE(C60,"      ",D60,"……..….…………..……..……....…………………………………………. ",E60)</f>
        <v>B      PROFESSIONAL ……..….…………..……..……....…………………………………………. Capo Deposito Sovrintendente</v>
      </c>
      <c r="K60" s="197"/>
      <c r="L60" s="197"/>
      <c r="M60" s="197"/>
      <c r="N60" s="197"/>
      <c r="O60" s="197"/>
      <c r="P60" s="147">
        <v>30</v>
      </c>
      <c r="Q60" s="147">
        <v>65</v>
      </c>
      <c r="R60" s="160"/>
      <c r="S60" s="147">
        <v>30</v>
      </c>
      <c r="T60" s="147">
        <v>65</v>
      </c>
      <c r="U60" s="147"/>
    </row>
    <row r="61" spans="1:21" ht="18" customHeight="1" hidden="1" thickBot="1">
      <c r="A61" s="148" t="str">
        <f t="shared" si="6"/>
        <v>B-PROFESSIONAL -Capo Gestione Sovrintendente</v>
      </c>
      <c r="B61" s="174">
        <v>27</v>
      </c>
      <c r="C61" s="213" t="s">
        <v>393</v>
      </c>
      <c r="D61" s="204" t="s">
        <v>425</v>
      </c>
      <c r="E61" s="205" t="s">
        <v>163</v>
      </c>
      <c r="F61" s="206">
        <v>119.3</v>
      </c>
      <c r="G61" s="207">
        <v>152.04542754884392</v>
      </c>
      <c r="H61" s="206">
        <v>279.1</v>
      </c>
      <c r="I61" s="207">
        <v>144.01662544479836</v>
      </c>
      <c r="J61" s="196" t="str">
        <f aca="true" t="shared" si="9" ref="J61:J70">CONCATENATE(C61,"      ",D61,"……..….…………..……..……....…………………………………………. ",E61)</f>
        <v>B      PROFESSIONAL ……..….…………..……..……....…………………………………………. Capo Gestione Sovrintendente</v>
      </c>
      <c r="K61" s="197"/>
      <c r="L61" s="197"/>
      <c r="M61" s="197"/>
      <c r="N61" s="197"/>
      <c r="O61" s="197"/>
      <c r="P61" s="147">
        <v>30</v>
      </c>
      <c r="Q61" s="147">
        <v>65</v>
      </c>
      <c r="R61" s="160"/>
      <c r="S61" s="147">
        <v>30</v>
      </c>
      <c r="T61" s="147">
        <v>65</v>
      </c>
      <c r="U61" s="147"/>
    </row>
    <row r="62" spans="1:21" ht="18" customHeight="1" hidden="1" thickBot="1">
      <c r="A62" s="148" t="str">
        <f t="shared" si="6"/>
        <v>B-PROFESSIONAL -Capo Personale Viaggiante Sovrintendente</v>
      </c>
      <c r="B62" s="147">
        <v>28</v>
      </c>
      <c r="C62" s="213" t="s">
        <v>393</v>
      </c>
      <c r="D62" s="204" t="s">
        <v>425</v>
      </c>
      <c r="E62" s="205" t="s">
        <v>164</v>
      </c>
      <c r="F62" s="206">
        <v>127.56</v>
      </c>
      <c r="G62" s="207">
        <v>152.04542754884392</v>
      </c>
      <c r="H62" s="206">
        <v>279.1</v>
      </c>
      <c r="I62" s="207">
        <v>144.01662544479836</v>
      </c>
      <c r="J62" s="196" t="str">
        <f t="shared" si="9"/>
        <v>B      PROFESSIONAL ……..….…………..……..……....…………………………………………. Capo Personale Viaggiante Sovrintendente</v>
      </c>
      <c r="K62" s="197"/>
      <c r="L62" s="197"/>
      <c r="M62" s="197"/>
      <c r="N62" s="197"/>
      <c r="O62" s="197"/>
      <c r="P62" s="147">
        <v>30</v>
      </c>
      <c r="Q62" s="147">
        <v>65</v>
      </c>
      <c r="R62" s="160"/>
      <c r="S62" s="147">
        <v>30</v>
      </c>
      <c r="T62" s="147">
        <v>65</v>
      </c>
      <c r="U62" s="147"/>
    </row>
    <row r="63" spans="1:21" ht="18" customHeight="1" hidden="1" thickBot="1">
      <c r="A63" s="148" t="str">
        <f t="shared" si="6"/>
        <v>B-PROFESSIONAL -Capo Stazione Sovrintendente</v>
      </c>
      <c r="B63" s="174">
        <v>29</v>
      </c>
      <c r="C63" s="213" t="s">
        <v>393</v>
      </c>
      <c r="D63" s="204" t="s">
        <v>425</v>
      </c>
      <c r="E63" s="205" t="s">
        <v>165</v>
      </c>
      <c r="F63" s="206">
        <v>139.96</v>
      </c>
      <c r="G63" s="207">
        <v>152.04542754884392</v>
      </c>
      <c r="H63" s="206">
        <v>279.1</v>
      </c>
      <c r="I63" s="207">
        <v>144.01662544479836</v>
      </c>
      <c r="J63" s="196" t="str">
        <f t="shared" si="9"/>
        <v>B      PROFESSIONAL ……..….…………..……..……....…………………………………………. Capo Stazione Sovrintendente</v>
      </c>
      <c r="K63" s="197"/>
      <c r="L63" s="197"/>
      <c r="M63" s="197"/>
      <c r="N63" s="197"/>
      <c r="O63" s="197"/>
      <c r="P63" s="147">
        <v>30</v>
      </c>
      <c r="Q63" s="147">
        <v>65</v>
      </c>
      <c r="R63" s="160"/>
      <c r="S63" s="147">
        <v>30</v>
      </c>
      <c r="T63" s="147">
        <v>65</v>
      </c>
      <c r="U63" s="147"/>
    </row>
    <row r="64" spans="1:21" ht="18" customHeight="1" hidden="1" thickBot="1">
      <c r="A64" s="148" t="str">
        <f t="shared" si="6"/>
        <v>B-PROFESSIONAL -Capo Tecnico Sovrintendente</v>
      </c>
      <c r="B64" s="147">
        <v>30</v>
      </c>
      <c r="C64" s="213" t="s">
        <v>393</v>
      </c>
      <c r="D64" s="204" t="s">
        <v>425</v>
      </c>
      <c r="E64" s="205" t="s">
        <v>166</v>
      </c>
      <c r="F64" s="206">
        <v>132.73</v>
      </c>
      <c r="G64" s="207">
        <v>152.04542754884392</v>
      </c>
      <c r="H64" s="206">
        <v>279.1</v>
      </c>
      <c r="I64" s="207">
        <v>144.01662544479836</v>
      </c>
      <c r="J64" s="196" t="str">
        <f t="shared" si="9"/>
        <v>B      PROFESSIONAL ……..….…………..……..……....…………………………………………. Capo Tecnico Sovrintendente</v>
      </c>
      <c r="K64" s="197"/>
      <c r="L64" s="197"/>
      <c r="M64" s="197"/>
      <c r="N64" s="197"/>
      <c r="O64" s="197"/>
      <c r="P64" s="147">
        <v>30</v>
      </c>
      <c r="Q64" s="147">
        <v>65</v>
      </c>
      <c r="R64" s="160"/>
      <c r="S64" s="147">
        <v>30</v>
      </c>
      <c r="T64" s="147">
        <v>65</v>
      </c>
      <c r="U64" s="147"/>
    </row>
    <row r="65" spans="1:21" ht="18" customHeight="1" hidden="1" thickBot="1">
      <c r="A65" s="148" t="str">
        <f t="shared" si="6"/>
        <v>B-PROFESSIONAL -Controllore Viaggiante Sovrintendente</v>
      </c>
      <c r="B65" s="174">
        <v>31</v>
      </c>
      <c r="C65" s="213" t="s">
        <v>393</v>
      </c>
      <c r="D65" s="204" t="s">
        <v>425</v>
      </c>
      <c r="E65" s="205" t="s">
        <v>167</v>
      </c>
      <c r="F65" s="206">
        <v>140.99</v>
      </c>
      <c r="G65" s="207">
        <v>152.04542754884392</v>
      </c>
      <c r="H65" s="206">
        <v>279.1</v>
      </c>
      <c r="I65" s="207">
        <v>144.01662544479836</v>
      </c>
      <c r="J65" s="196" t="str">
        <f t="shared" si="9"/>
        <v>B      PROFESSIONAL ……..….…………..……..……....…………………………………………. Controllore Viaggiante Sovrintendente</v>
      </c>
      <c r="K65" s="197"/>
      <c r="L65" s="197"/>
      <c r="M65" s="197"/>
      <c r="N65" s="197"/>
      <c r="O65" s="197"/>
      <c r="P65" s="147">
        <v>30</v>
      </c>
      <c r="Q65" s="147">
        <v>62</v>
      </c>
      <c r="R65" s="160"/>
      <c r="S65" s="147">
        <v>30</v>
      </c>
      <c r="T65" s="147">
        <v>62</v>
      </c>
      <c r="U65" s="147"/>
    </row>
    <row r="66" spans="1:21" ht="18" customHeight="1" hidden="1" thickBot="1">
      <c r="A66" s="148" t="str">
        <f t="shared" si="6"/>
        <v>B-PROFESSIONAL -Ispettore Principale</v>
      </c>
      <c r="B66" s="147">
        <v>32</v>
      </c>
      <c r="C66" s="213" t="s">
        <v>393</v>
      </c>
      <c r="D66" s="204" t="s">
        <v>425</v>
      </c>
      <c r="E66" s="205" t="s">
        <v>168</v>
      </c>
      <c r="F66" s="206">
        <v>168.88</v>
      </c>
      <c r="G66" s="207">
        <v>152.04542754884392</v>
      </c>
      <c r="H66" s="206">
        <v>279.1</v>
      </c>
      <c r="I66" s="207">
        <v>144.01662544479836</v>
      </c>
      <c r="J66" s="196" t="str">
        <f t="shared" si="9"/>
        <v>B      PROFESSIONAL ……..….…………..……..……....…………………………………………. Ispettore Principale</v>
      </c>
      <c r="K66" s="197"/>
      <c r="L66" s="197"/>
      <c r="M66" s="197"/>
      <c r="N66" s="197"/>
      <c r="O66" s="197"/>
      <c r="P66" s="147">
        <v>30</v>
      </c>
      <c r="Q66" s="147">
        <v>65</v>
      </c>
      <c r="R66" s="160"/>
      <c r="S66" s="147">
        <v>30</v>
      </c>
      <c r="T66" s="147">
        <v>65</v>
      </c>
      <c r="U66" s="147"/>
    </row>
    <row r="67" spans="1:21" ht="18" customHeight="1" hidden="1" thickBot="1">
      <c r="A67" s="148" t="str">
        <f t="shared" si="6"/>
        <v>B-PROFESSIONAL -Revisore Superiore di 1^ classe</v>
      </c>
      <c r="B67" s="174">
        <v>33</v>
      </c>
      <c r="C67" s="213" t="s">
        <v>393</v>
      </c>
      <c r="D67" s="204" t="s">
        <v>425</v>
      </c>
      <c r="E67" s="205" t="s">
        <v>169</v>
      </c>
      <c r="F67" s="206">
        <v>128.08</v>
      </c>
      <c r="G67" s="207">
        <v>152.04542754884392</v>
      </c>
      <c r="H67" s="206">
        <v>279.1</v>
      </c>
      <c r="I67" s="207">
        <v>144.01662544479836</v>
      </c>
      <c r="J67" s="196" t="str">
        <f t="shared" si="9"/>
        <v>B      PROFESSIONAL ……..….…………..……..……....…………………………………………. Revisore Superiore di 1^ classe</v>
      </c>
      <c r="K67" s="197"/>
      <c r="L67" s="197"/>
      <c r="M67" s="197"/>
      <c r="N67" s="197"/>
      <c r="O67" s="197"/>
      <c r="P67" s="147">
        <v>30</v>
      </c>
      <c r="Q67" s="147">
        <v>65</v>
      </c>
      <c r="R67" s="160"/>
      <c r="S67" s="147">
        <v>30</v>
      </c>
      <c r="T67" s="147">
        <v>65</v>
      </c>
      <c r="U67" s="147"/>
    </row>
    <row r="68" spans="1:21" ht="18" customHeight="1" hidden="1" thickBot="1">
      <c r="A68" s="148" t="str">
        <f t="shared" si="6"/>
        <v>B-PROFESSIONAL -Segretario Superiore di 1^ classe d’Informatica</v>
      </c>
      <c r="B68" s="147">
        <v>34</v>
      </c>
      <c r="C68" s="213" t="s">
        <v>393</v>
      </c>
      <c r="D68" s="204" t="s">
        <v>425</v>
      </c>
      <c r="E68" s="205" t="s">
        <v>170</v>
      </c>
      <c r="F68" s="206">
        <v>128.08</v>
      </c>
      <c r="G68" s="207">
        <v>152.04542754884392</v>
      </c>
      <c r="H68" s="206">
        <v>279.1</v>
      </c>
      <c r="I68" s="207">
        <v>144.01662544479836</v>
      </c>
      <c r="J68" s="196" t="str">
        <f t="shared" si="9"/>
        <v>B      PROFESSIONAL ……..….…………..……..……....…………………………………………. Segretario Superiore di 1^ classe d’Informatica</v>
      </c>
      <c r="K68" s="197"/>
      <c r="L68" s="197"/>
      <c r="M68" s="197"/>
      <c r="N68" s="197"/>
      <c r="O68" s="197"/>
      <c r="P68" s="147">
        <v>30</v>
      </c>
      <c r="Q68" s="147">
        <v>65</v>
      </c>
      <c r="R68" s="160"/>
      <c r="S68" s="147">
        <v>30</v>
      </c>
      <c r="T68" s="147">
        <v>65</v>
      </c>
      <c r="U68" s="147"/>
    </row>
    <row r="69" spans="1:21" ht="18" customHeight="1" hidden="1" thickBot="1">
      <c r="A69" s="148" t="str">
        <f t="shared" si="6"/>
        <v>B-PROFESSIONAL -Segretario Superiore di 1^ classe</v>
      </c>
      <c r="B69" s="174">
        <v>35</v>
      </c>
      <c r="C69" s="213" t="s">
        <v>393</v>
      </c>
      <c r="D69" s="204" t="s">
        <v>425</v>
      </c>
      <c r="E69" s="205" t="s">
        <v>171</v>
      </c>
      <c r="F69" s="206">
        <v>128.08</v>
      </c>
      <c r="G69" s="207">
        <v>152.04542754884392</v>
      </c>
      <c r="H69" s="206">
        <v>279.1</v>
      </c>
      <c r="I69" s="207">
        <v>144.01662544479836</v>
      </c>
      <c r="J69" s="196" t="str">
        <f t="shared" si="9"/>
        <v>B      PROFESSIONAL ……..….…………..……..……....…………………………………………. Segretario Superiore di 1^ classe</v>
      </c>
      <c r="K69" s="197"/>
      <c r="L69" s="197"/>
      <c r="M69" s="197"/>
      <c r="N69" s="197"/>
      <c r="O69" s="197"/>
      <c r="P69" s="147">
        <v>30</v>
      </c>
      <c r="Q69" s="147">
        <v>65</v>
      </c>
      <c r="R69" s="160"/>
      <c r="S69" s="147">
        <v>30</v>
      </c>
      <c r="T69" s="147">
        <v>65</v>
      </c>
      <c r="U69" s="147"/>
    </row>
    <row r="70" spans="1:21" ht="18" customHeight="1" hidden="1" thickBot="1">
      <c r="A70" s="148" t="str">
        <f t="shared" si="6"/>
        <v>B-PROFESSIONAL -Segretario Tecnico Superiore di 1^ classe</v>
      </c>
      <c r="B70" s="147">
        <v>36</v>
      </c>
      <c r="C70" s="213" t="s">
        <v>393</v>
      </c>
      <c r="D70" s="204" t="s">
        <v>425</v>
      </c>
      <c r="E70" s="205" t="s">
        <v>172</v>
      </c>
      <c r="F70" s="206">
        <v>128.08</v>
      </c>
      <c r="G70" s="207">
        <v>152.04542754884392</v>
      </c>
      <c r="H70" s="206">
        <v>279.1</v>
      </c>
      <c r="I70" s="207">
        <v>144.01662544479836</v>
      </c>
      <c r="J70" s="196" t="str">
        <f t="shared" si="9"/>
        <v>B      PROFESSIONAL ……..….…………..……..……....…………………………………………. Segretario Tecnico Superiore di 1^ classe</v>
      </c>
      <c r="K70" s="197"/>
      <c r="L70" s="197"/>
      <c r="M70" s="197"/>
      <c r="N70" s="197"/>
      <c r="O70" s="197"/>
      <c r="P70" s="147">
        <v>30</v>
      </c>
      <c r="Q70" s="147">
        <v>65</v>
      </c>
      <c r="R70" s="160"/>
      <c r="S70" s="147">
        <v>30</v>
      </c>
      <c r="T70" s="147">
        <v>65</v>
      </c>
      <c r="U70" s="147"/>
    </row>
    <row r="71" spans="1:21" ht="18" customHeight="1" hidden="1" thickBot="1">
      <c r="A71" s="148" t="str">
        <f t="shared" si="6"/>
        <v>B-PROFESSIONAL -Ex profilo non previsto</v>
      </c>
      <c r="B71" s="174">
        <v>37</v>
      </c>
      <c r="C71" s="213" t="s">
        <v>393</v>
      </c>
      <c r="D71" s="204" t="s">
        <v>425</v>
      </c>
      <c r="E71" s="200" t="s">
        <v>374</v>
      </c>
      <c r="F71" s="206">
        <v>128.08</v>
      </c>
      <c r="G71" s="207">
        <v>152.04542754884392</v>
      </c>
      <c r="H71" s="206">
        <v>279.1</v>
      </c>
      <c r="I71" s="207">
        <v>144.01662544479836</v>
      </c>
      <c r="J71" s="196" t="str">
        <f>CONCATENATE(C71,"      ",D71,"                    ",E71)</f>
        <v>B      PROFESSIONAL                     Ex profilo non previsto</v>
      </c>
      <c r="K71" s="197"/>
      <c r="L71" s="197"/>
      <c r="M71" s="197"/>
      <c r="N71" s="197"/>
      <c r="O71" s="197"/>
      <c r="P71" s="147">
        <v>30</v>
      </c>
      <c r="Q71" s="147">
        <v>65</v>
      </c>
      <c r="R71" s="160"/>
      <c r="S71" s="147">
        <v>30</v>
      </c>
      <c r="T71" s="147">
        <v>65</v>
      </c>
      <c r="U71" s="147"/>
    </row>
    <row r="72" spans="1:21" ht="18" customHeight="1" hidden="1" thickBot="1">
      <c r="A72" s="148" t="str">
        <f t="shared" si="6"/>
        <v>B-PROFESSIONAL (SETTORE MACCHINA)-Ex profilo non previsto</v>
      </c>
      <c r="B72" s="147">
        <v>38</v>
      </c>
      <c r="C72" s="213" t="s">
        <v>393</v>
      </c>
      <c r="D72" s="204" t="s">
        <v>426</v>
      </c>
      <c r="E72" s="200" t="s">
        <v>374</v>
      </c>
      <c r="F72" s="206">
        <v>128.08</v>
      </c>
      <c r="G72" s="207">
        <v>220.7341951277456</v>
      </c>
      <c r="H72" s="206">
        <v>279.1</v>
      </c>
      <c r="I72" s="207">
        <v>144.01662544479836</v>
      </c>
      <c r="J72" s="196" t="str">
        <f>CONCATENATE(C72,"      ",D72,"                    ",E72)</f>
        <v>B      PROFESSIONAL (SETTORE MACCHINA)                    Ex profilo non previsto</v>
      </c>
      <c r="K72" s="197"/>
      <c r="L72" s="197"/>
      <c r="M72" s="197"/>
      <c r="N72" s="197"/>
      <c r="O72" s="197"/>
      <c r="P72" s="147">
        <v>30</v>
      </c>
      <c r="Q72" s="147">
        <v>65</v>
      </c>
      <c r="R72" s="160"/>
      <c r="S72" s="147">
        <v>30</v>
      </c>
      <c r="T72" s="147">
        <v>65</v>
      </c>
      <c r="U72" s="147"/>
    </row>
    <row r="73" spans="1:21" ht="18" customHeight="1" hidden="1" thickBot="1">
      <c r="A73" s="148" t="str">
        <f t="shared" si="6"/>
        <v>B-PROFESSIONAL SANITARIO-Ex profilo non previsto</v>
      </c>
      <c r="B73" s="174">
        <v>39</v>
      </c>
      <c r="C73" s="213" t="s">
        <v>393</v>
      </c>
      <c r="D73" s="204" t="s">
        <v>427</v>
      </c>
      <c r="E73" s="200" t="s">
        <v>374</v>
      </c>
      <c r="F73" s="206">
        <v>128.08</v>
      </c>
      <c r="G73" s="207">
        <v>152.04542754884392</v>
      </c>
      <c r="H73" s="206">
        <v>279.1</v>
      </c>
      <c r="I73" s="207">
        <v>144.01662544479836</v>
      </c>
      <c r="J73" s="196" t="str">
        <f>CONCATENATE(C73,"      ",D73,"                    ",E73)</f>
        <v>B      PROFESSIONAL SANITARIO                    Ex profilo non previsto</v>
      </c>
      <c r="K73" s="197"/>
      <c r="L73" s="197"/>
      <c r="M73" s="197"/>
      <c r="N73" s="197"/>
      <c r="O73" s="197"/>
      <c r="P73" s="147">
        <v>30</v>
      </c>
      <c r="Q73" s="147">
        <v>65</v>
      </c>
      <c r="R73" s="160"/>
      <c r="S73" s="147">
        <v>30</v>
      </c>
      <c r="T73" s="147">
        <v>65</v>
      </c>
      <c r="U73" s="147"/>
    </row>
    <row r="74" spans="1:21" ht="18" customHeight="1" hidden="1" thickBot="1">
      <c r="A74" s="148" t="str">
        <f t="shared" si="6"/>
        <v>B-RESPONSABILE DI LINEA OPERATIVA-TECNICA (SETTORE MACCHINA)-Ex profilo non previsto</v>
      </c>
      <c r="B74" s="147">
        <v>40</v>
      </c>
      <c r="C74" s="213" t="s">
        <v>393</v>
      </c>
      <c r="D74" s="204" t="s">
        <v>428</v>
      </c>
      <c r="E74" s="200" t="s">
        <v>374</v>
      </c>
      <c r="F74" s="206">
        <v>139.96</v>
      </c>
      <c r="G74" s="207">
        <v>220.7341951277456</v>
      </c>
      <c r="H74" s="206">
        <v>301.1</v>
      </c>
      <c r="I74" s="207">
        <v>144.01662544479836</v>
      </c>
      <c r="J74" s="196" t="str">
        <f>CONCATENATE(C74,"      ",D74,"                    ",E74)</f>
        <v>B      RESPONSABILE DI LINEA OPERATIVA-TECNICA (SETTORE MACCHINA)                    Ex profilo non previsto</v>
      </c>
      <c r="K74" s="197"/>
      <c r="L74" s="197"/>
      <c r="M74" s="197"/>
      <c r="N74" s="197"/>
      <c r="O74" s="197"/>
      <c r="P74" s="147">
        <v>30</v>
      </c>
      <c r="Q74" s="147">
        <v>65</v>
      </c>
      <c r="R74" s="147" t="s">
        <v>321</v>
      </c>
      <c r="S74" s="147">
        <v>30</v>
      </c>
      <c r="T74" s="147">
        <v>65</v>
      </c>
      <c r="U74" s="147"/>
    </row>
    <row r="75" spans="1:21" ht="18" customHeight="1" hidden="1" thickBot="1">
      <c r="A75" s="148" t="str">
        <f t="shared" si="6"/>
        <v>B-RESPONSABILE DI LINEA/UNITÁ OPERATIVA/TECNICA-Ex profilo non previsto</v>
      </c>
      <c r="B75" s="174">
        <v>41</v>
      </c>
      <c r="C75" s="214" t="s">
        <v>393</v>
      </c>
      <c r="D75" s="209" t="s">
        <v>429</v>
      </c>
      <c r="E75" s="200" t="s">
        <v>374</v>
      </c>
      <c r="F75" s="210">
        <v>139.96</v>
      </c>
      <c r="G75" s="211">
        <v>152.04542754884392</v>
      </c>
      <c r="H75" s="210">
        <v>301.1</v>
      </c>
      <c r="I75" s="211">
        <v>144.01662544479836</v>
      </c>
      <c r="J75" s="196" t="str">
        <f>CONCATENATE(C75,"      ",D75,"                    ",E75)</f>
        <v>B      RESPONSABILE DI LINEA/UNITÁ OPERATIVA/TECNICA                    Ex profilo non previsto</v>
      </c>
      <c r="K75" s="197"/>
      <c r="L75" s="197"/>
      <c r="M75" s="197"/>
      <c r="N75" s="197"/>
      <c r="O75" s="197"/>
      <c r="P75" s="147">
        <v>30</v>
      </c>
      <c r="Q75" s="147">
        <v>65</v>
      </c>
      <c r="R75" s="160"/>
      <c r="S75" s="147">
        <v>30</v>
      </c>
      <c r="T75" s="147">
        <v>65</v>
      </c>
      <c r="U75" s="147"/>
    </row>
    <row r="76" spans="1:21" ht="18" customHeight="1" hidden="1" thickBot="1">
      <c r="A76" s="148" t="str">
        <f t="shared" si="6"/>
        <v>C-IMPIEGATO DIRETTIVO-Ispettore</v>
      </c>
      <c r="B76" s="147">
        <v>42</v>
      </c>
      <c r="C76" s="215" t="s">
        <v>394</v>
      </c>
      <c r="D76" s="216" t="s">
        <v>430</v>
      </c>
      <c r="E76" s="205" t="s">
        <v>119</v>
      </c>
      <c r="F76" s="217">
        <v>66.11</v>
      </c>
      <c r="G76" s="218">
        <v>61.23422869744405</v>
      </c>
      <c r="H76" s="217">
        <v>212.52</v>
      </c>
      <c r="I76" s="218">
        <v>40.07501389269055</v>
      </c>
      <c r="J76" s="196" t="str">
        <f>CONCATENATE(C76,"      ",D76," ….……..……...…..….……………...………………………… ",E76)</f>
        <v>C      IMPIEGATO DIRETTIVO ….……..……...…..….……………...………………………… Ispettore</v>
      </c>
      <c r="K76" s="197"/>
      <c r="L76" s="197"/>
      <c r="M76" s="197"/>
      <c r="N76" s="197"/>
      <c r="O76" s="197"/>
      <c r="P76" s="147">
        <v>30</v>
      </c>
      <c r="Q76" s="147">
        <v>65</v>
      </c>
      <c r="R76" s="160"/>
      <c r="S76" s="147">
        <v>30</v>
      </c>
      <c r="T76" s="147">
        <v>65</v>
      </c>
      <c r="U76" s="147"/>
    </row>
    <row r="77" spans="1:21" ht="18" customHeight="1" hidden="1" thickBot="1">
      <c r="A77" s="148" t="str">
        <f t="shared" si="6"/>
        <v>D1-ANALISTA CONTABILE-Ex profilo non previsto</v>
      </c>
      <c r="B77" s="174">
        <v>43</v>
      </c>
      <c r="C77" s="212" t="s">
        <v>396</v>
      </c>
      <c r="D77" s="199" t="s">
        <v>431</v>
      </c>
      <c r="E77" s="200" t="s">
        <v>374</v>
      </c>
      <c r="F77" s="201">
        <v>54.23</v>
      </c>
      <c r="G77" s="202">
        <v>54.107123490009144</v>
      </c>
      <c r="H77" s="201">
        <v>104.02</v>
      </c>
      <c r="I77" s="219">
        <v>68.84</v>
      </c>
      <c r="J77" s="196" t="str">
        <f>CONCATENATE(C77,"      ",D77,"                    ",E77)</f>
        <v>D1      ANALISTA CONTABILE                    Ex profilo non previsto</v>
      </c>
      <c r="K77" s="197"/>
      <c r="L77" s="197"/>
      <c r="M77" s="197"/>
      <c r="N77" s="197"/>
      <c r="O77" s="197"/>
      <c r="P77" s="147">
        <v>30</v>
      </c>
      <c r="Q77" s="147">
        <v>65</v>
      </c>
      <c r="R77" s="160"/>
      <c r="S77" s="147">
        <v>30</v>
      </c>
      <c r="T77" s="147">
        <v>65</v>
      </c>
      <c r="U77" s="147"/>
    </row>
    <row r="78" spans="1:21" ht="18" customHeight="1" hidden="1" thickBot="1">
      <c r="A78" s="148" t="str">
        <f t="shared" si="6"/>
        <v>D1-ANALISTA PROGRAMMATORE-Ex profilo non previsto</v>
      </c>
      <c r="B78" s="147">
        <v>44</v>
      </c>
      <c r="C78" s="213" t="s">
        <v>396</v>
      </c>
      <c r="D78" s="204" t="s">
        <v>432</v>
      </c>
      <c r="E78" s="200" t="s">
        <v>374</v>
      </c>
      <c r="F78" s="206">
        <v>54.23</v>
      </c>
      <c r="G78" s="207">
        <v>54.107123490009144</v>
      </c>
      <c r="H78" s="206">
        <v>104.02</v>
      </c>
      <c r="I78" s="220">
        <v>68.84</v>
      </c>
      <c r="J78" s="196" t="str">
        <f>CONCATENATE(C78,"      ",D78,"                    ",E78)</f>
        <v>D1      ANALISTA PROGRAMMATORE                    Ex profilo non previsto</v>
      </c>
      <c r="K78" s="197"/>
      <c r="L78" s="197"/>
      <c r="M78" s="197"/>
      <c r="N78" s="197"/>
      <c r="O78" s="197"/>
      <c r="P78" s="147">
        <v>30</v>
      </c>
      <c r="Q78" s="147">
        <v>65</v>
      </c>
      <c r="R78" s="160"/>
      <c r="S78" s="147">
        <v>30</v>
      </c>
      <c r="T78" s="147">
        <v>65</v>
      </c>
      <c r="U78" s="147"/>
    </row>
    <row r="79" spans="1:21" ht="18" customHeight="1" hidden="1" thickBot="1">
      <c r="A79" s="148" t="str">
        <f t="shared" si="6"/>
        <v>D1-CAPO ELETTRICISTA-Capo Elettricista</v>
      </c>
      <c r="B79" s="174">
        <v>45</v>
      </c>
      <c r="C79" s="213" t="s">
        <v>396</v>
      </c>
      <c r="D79" s="204" t="s">
        <v>433</v>
      </c>
      <c r="E79" s="205" t="s">
        <v>148</v>
      </c>
      <c r="F79" s="206">
        <v>160.1</v>
      </c>
      <c r="G79" s="207">
        <v>117.63132207801598</v>
      </c>
      <c r="H79" s="206">
        <v>144.61</v>
      </c>
      <c r="I79" s="220">
        <v>68.84</v>
      </c>
      <c r="J79" s="196" t="str">
        <f>CONCATENATE(C79,"      ",D79," …….….......….…….….……………………….………………… ",E79)</f>
        <v>D1      CAPO ELETTRICISTA …….….......….…….….……………………….………………… Capo Elettricista</v>
      </c>
      <c r="K79" s="197"/>
      <c r="L79" s="197"/>
      <c r="M79" s="197"/>
      <c r="N79" s="197"/>
      <c r="O79" s="197"/>
      <c r="P79" s="147">
        <v>25</v>
      </c>
      <c r="Q79" s="147">
        <v>58</v>
      </c>
      <c r="R79" s="160"/>
      <c r="S79" s="147">
        <v>25</v>
      </c>
      <c r="T79" s="147">
        <v>58</v>
      </c>
      <c r="U79" s="147"/>
    </row>
    <row r="80" spans="1:21" ht="18" customHeight="1" hidden="1" thickBot="1">
      <c r="A80" s="148" t="str">
        <f t="shared" si="6"/>
        <v>D1-CAPO MOTORISTA-Capo Motorista</v>
      </c>
      <c r="B80" s="147">
        <v>46</v>
      </c>
      <c r="C80" s="213" t="s">
        <v>396</v>
      </c>
      <c r="D80" s="204" t="s">
        <v>434</v>
      </c>
      <c r="E80" s="205" t="s">
        <v>173</v>
      </c>
      <c r="F80" s="206">
        <v>160.1</v>
      </c>
      <c r="G80" s="207">
        <v>117.63132207801598</v>
      </c>
      <c r="H80" s="206">
        <v>144.61</v>
      </c>
      <c r="I80" s="220">
        <v>68.84</v>
      </c>
      <c r="J80" s="196" t="str">
        <f>CONCATENATE(C80,"      ",D80," ……….…..…..….…….….……………………….………………… ",E80)</f>
        <v>D1      CAPO MOTORISTA ……….…..…..….…….….……………………….………………… Capo Motorista</v>
      </c>
      <c r="K80" s="197"/>
      <c r="L80" s="197"/>
      <c r="M80" s="197"/>
      <c r="N80" s="197"/>
      <c r="O80" s="197"/>
      <c r="P80" s="147">
        <v>25</v>
      </c>
      <c r="Q80" s="147">
        <v>58</v>
      </c>
      <c r="R80" s="160"/>
      <c r="S80" s="147">
        <v>25</v>
      </c>
      <c r="T80" s="147">
        <v>58</v>
      </c>
      <c r="U80" s="147"/>
    </row>
    <row r="81" spans="1:21" ht="18" customHeight="1" hidden="1" thickBot="1">
      <c r="A81" s="148" t="str">
        <f t="shared" si="6"/>
        <v>D1-CAPO STAZIONE-Capo Stazione Superiore (par. 186)</v>
      </c>
      <c r="B81" s="174">
        <v>47</v>
      </c>
      <c r="C81" s="213" t="s">
        <v>396</v>
      </c>
      <c r="D81" s="204" t="s">
        <v>435</v>
      </c>
      <c r="E81" s="205" t="s">
        <v>174</v>
      </c>
      <c r="F81" s="206">
        <v>98.13</v>
      </c>
      <c r="G81" s="207">
        <v>80.44642534357295</v>
      </c>
      <c r="H81" s="206">
        <v>166.2</v>
      </c>
      <c r="I81" s="220">
        <v>68.84</v>
      </c>
      <c r="J81" s="196" t="str">
        <f>CONCATENATE(C81,"      ",D81," ……..…..…....…..….…….….……………………….………………… ",E81)</f>
        <v>D1      CAPO STAZIONE ……..…..…....…..….…….….……………………….………………… Capo Stazione Superiore (par. 186)</v>
      </c>
      <c r="K81" s="197"/>
      <c r="L81" s="197"/>
      <c r="M81" s="197"/>
      <c r="N81" s="197"/>
      <c r="O81" s="197"/>
      <c r="P81" s="147">
        <v>30</v>
      </c>
      <c r="Q81" s="147">
        <v>65</v>
      </c>
      <c r="R81" s="160"/>
      <c r="S81" s="147">
        <v>30</v>
      </c>
      <c r="T81" s="147">
        <v>65</v>
      </c>
      <c r="U81" s="147"/>
    </row>
    <row r="82" spans="1:21" ht="18" customHeight="1" hidden="1" thickBot="1">
      <c r="A82" s="148" t="str">
        <f t="shared" si="6"/>
        <v>D1-CAPO TECNICO-Capo Tecnico Sup. Manutenzione Infrastrutture (par. 186)</v>
      </c>
      <c r="B82" s="147">
        <v>48</v>
      </c>
      <c r="C82" s="213" t="s">
        <v>396</v>
      </c>
      <c r="D82" s="204" t="s">
        <v>436</v>
      </c>
      <c r="E82" s="205" t="s">
        <v>175</v>
      </c>
      <c r="F82" s="206">
        <v>73.34</v>
      </c>
      <c r="G82" s="207">
        <v>65.57246664979574</v>
      </c>
      <c r="H82" s="206">
        <v>111.4</v>
      </c>
      <c r="I82" s="220">
        <v>68.84</v>
      </c>
      <c r="J82" s="196" t="str">
        <f>CONCATENATE(C82,"      ",D82," ………...……....…..….…….….……………………….………………… ",E82)</f>
        <v>D1      CAPO TECNICO ………...……....…..….…….….……………………….………………… Capo Tecnico Sup. Manutenzione Infrastrutture (par. 186)</v>
      </c>
      <c r="K82" s="197"/>
      <c r="L82" s="197"/>
      <c r="M82" s="197"/>
      <c r="N82" s="197"/>
      <c r="O82" s="197"/>
      <c r="P82" s="147">
        <v>30</v>
      </c>
      <c r="Q82" s="147">
        <v>65</v>
      </c>
      <c r="R82" s="160"/>
      <c r="S82" s="147">
        <v>30</v>
      </c>
      <c r="T82" s="147">
        <v>65</v>
      </c>
      <c r="U82" s="147"/>
    </row>
    <row r="83" spans="1:21" ht="18" customHeight="1" hidden="1" thickBot="1">
      <c r="A83" s="148" t="str">
        <f t="shared" si="6"/>
        <v>D1-CAPO TECNICO-Capo Tecnico Sup. Manutenzione Rotabili (par. 186)</v>
      </c>
      <c r="B83" s="174">
        <v>49</v>
      </c>
      <c r="C83" s="213" t="s">
        <v>396</v>
      </c>
      <c r="D83" s="204" t="s">
        <v>436</v>
      </c>
      <c r="E83" s="205" t="s">
        <v>176</v>
      </c>
      <c r="F83" s="206">
        <v>73.34</v>
      </c>
      <c r="G83" s="207">
        <v>65.57246664979574</v>
      </c>
      <c r="H83" s="206">
        <v>175.94</v>
      </c>
      <c r="I83" s="220">
        <v>68.84</v>
      </c>
      <c r="J83" s="196" t="str">
        <f>CONCATENATE(C83,"      ",D83," ………...……....…..….…….….……………………….………………… ",E83)</f>
        <v>D1      CAPO TECNICO ………...……....…..….…….….……………………….………………… Capo Tecnico Sup. Manutenzione Rotabili (par. 186)</v>
      </c>
      <c r="K83" s="197"/>
      <c r="L83" s="197"/>
      <c r="M83" s="197"/>
      <c r="N83" s="197"/>
      <c r="O83" s="197"/>
      <c r="P83" s="147">
        <v>30</v>
      </c>
      <c r="Q83" s="147">
        <v>65</v>
      </c>
      <c r="R83" s="160"/>
      <c r="S83" s="147">
        <v>30</v>
      </c>
      <c r="T83" s="147">
        <v>65</v>
      </c>
      <c r="U83" s="147"/>
    </row>
    <row r="84" spans="1:21" ht="18" customHeight="1" hidden="1" thickBot="1">
      <c r="A84" s="148" t="str">
        <f t="shared" si="6"/>
        <v>D1-CAPO TECNICO-Capo Tecnico Sup. Officine Navi Traghetto (par. 186)</v>
      </c>
      <c r="B84" s="147">
        <v>50</v>
      </c>
      <c r="C84" s="213" t="s">
        <v>396</v>
      </c>
      <c r="D84" s="204" t="s">
        <v>436</v>
      </c>
      <c r="E84" s="205" t="s">
        <v>177</v>
      </c>
      <c r="F84" s="206">
        <v>73.34</v>
      </c>
      <c r="G84" s="207">
        <v>65.57246664979574</v>
      </c>
      <c r="H84" s="206">
        <v>162.94</v>
      </c>
      <c r="I84" s="220">
        <v>68.84</v>
      </c>
      <c r="J84" s="196" t="str">
        <f>CONCATENATE(C84,"      ",D84," ………...……....…..….…….….……………………….………………… ",E84)</f>
        <v>D1      CAPO TECNICO ………...……....…..….…….….……………………….………………… Capo Tecnico Sup. Officine Navi Traghetto (par. 186)</v>
      </c>
      <c r="K84" s="197"/>
      <c r="L84" s="197"/>
      <c r="M84" s="197"/>
      <c r="N84" s="197"/>
      <c r="O84" s="197"/>
      <c r="P84" s="147">
        <v>30</v>
      </c>
      <c r="Q84" s="147">
        <v>65</v>
      </c>
      <c r="R84" s="160"/>
      <c r="S84" s="147">
        <v>30</v>
      </c>
      <c r="T84" s="147">
        <v>65</v>
      </c>
      <c r="U84" s="147"/>
    </row>
    <row r="85" spans="1:21" ht="18" customHeight="1" hidden="1" thickBot="1">
      <c r="A85" s="148" t="str">
        <f t="shared" si="6"/>
        <v>D1-CAPO TECNICO-Capo Tecnico Sup. Officine Nazionali Infrastrutture (par. 186)</v>
      </c>
      <c r="B85" s="174">
        <v>51</v>
      </c>
      <c r="C85" s="213" t="s">
        <v>396</v>
      </c>
      <c r="D85" s="204" t="s">
        <v>436</v>
      </c>
      <c r="E85" s="205" t="s">
        <v>178</v>
      </c>
      <c r="F85" s="206">
        <v>73.34</v>
      </c>
      <c r="G85" s="207">
        <v>65.57246664979574</v>
      </c>
      <c r="H85" s="206">
        <v>175.94</v>
      </c>
      <c r="I85" s="220">
        <v>68.84</v>
      </c>
      <c r="J85" s="196" t="str">
        <f>CONCATENATE(C85,"      ",D85," ………...……....…..….…….….……………………….………………… ",E85)</f>
        <v>D1      CAPO TECNICO ………...……....…..….…….….……………………….………………… Capo Tecnico Sup. Officine Nazionali Infrastrutture (par. 186)</v>
      </c>
      <c r="K85" s="197"/>
      <c r="L85" s="197"/>
      <c r="M85" s="197"/>
      <c r="N85" s="197"/>
      <c r="O85" s="197"/>
      <c r="P85" s="147">
        <v>30</v>
      </c>
      <c r="Q85" s="147">
        <v>65</v>
      </c>
      <c r="R85" s="160"/>
      <c r="S85" s="147">
        <v>30</v>
      </c>
      <c r="T85" s="147">
        <v>65</v>
      </c>
      <c r="U85" s="147"/>
    </row>
    <row r="86" spans="1:21" ht="18" customHeight="1" hidden="1" thickBot="1">
      <c r="A86" s="148" t="str">
        <f t="shared" si="6"/>
        <v>D1-CAPO TECNICO-Capo Tecnico Superiore (par. 186)</v>
      </c>
      <c r="B86" s="147">
        <v>52</v>
      </c>
      <c r="C86" s="213" t="s">
        <v>396</v>
      </c>
      <c r="D86" s="204" t="s">
        <v>436</v>
      </c>
      <c r="E86" s="205" t="s">
        <v>181</v>
      </c>
      <c r="F86" s="206">
        <v>73.34</v>
      </c>
      <c r="G86" s="207">
        <v>65.57246664979574</v>
      </c>
      <c r="H86" s="206">
        <v>104.02</v>
      </c>
      <c r="I86" s="220">
        <v>68.84</v>
      </c>
      <c r="J86" s="196" t="str">
        <f>CONCATENATE(C86,"      ",D86," ………...……....…..….…….….……………………….………………… ",E86)</f>
        <v>D1      CAPO TECNICO ………...……....…..….…….….……………………….………………… Capo Tecnico Superiore (par. 186)</v>
      </c>
      <c r="K86" s="197"/>
      <c r="L86" s="197"/>
      <c r="M86" s="197"/>
      <c r="N86" s="197"/>
      <c r="O86" s="197"/>
      <c r="P86" s="147">
        <v>30</v>
      </c>
      <c r="Q86" s="147">
        <v>65</v>
      </c>
      <c r="R86" s="160"/>
      <c r="S86" s="147">
        <v>30</v>
      </c>
      <c r="T86" s="147">
        <v>65</v>
      </c>
      <c r="U86" s="147"/>
    </row>
    <row r="87" spans="1:21" ht="18" customHeight="1" hidden="1" thickBot="1">
      <c r="A87" s="148" t="str">
        <f t="shared" si="6"/>
        <v>D1-CAPO TRENO/CAPO SERVIZI TRENO-Capo Treno/Capo Servizi Treno (par. 186)</v>
      </c>
      <c r="B87" s="174">
        <v>53</v>
      </c>
      <c r="C87" s="213" t="s">
        <v>396</v>
      </c>
      <c r="D87" s="204" t="s">
        <v>437</v>
      </c>
      <c r="E87" s="205" t="s">
        <v>182</v>
      </c>
      <c r="F87" s="206">
        <v>92.45</v>
      </c>
      <c r="G87" s="207">
        <v>77.03780980958234</v>
      </c>
      <c r="H87" s="206">
        <v>142.54</v>
      </c>
      <c r="I87" s="220">
        <v>68.84</v>
      </c>
      <c r="J87" s="196" t="str">
        <f>CONCATENATE(C87,"      ",D87," …………..…………….………………… ",E87)</f>
        <v>D1      CAPO TRENO/CAPO SERVIZI TRENO …………..…………….………………… Capo Treno/Capo Servizi Treno (par. 186)</v>
      </c>
      <c r="K87" s="197"/>
      <c r="L87" s="197"/>
      <c r="M87" s="197"/>
      <c r="N87" s="197"/>
      <c r="O87" s="197"/>
      <c r="P87" s="147">
        <v>25</v>
      </c>
      <c r="Q87" s="147">
        <v>58</v>
      </c>
      <c r="R87" s="160"/>
      <c r="S87" s="147">
        <v>25</v>
      </c>
      <c r="T87" s="147">
        <v>58</v>
      </c>
      <c r="U87" s="147"/>
    </row>
    <row r="88" spans="1:21" ht="18" customHeight="1" hidden="1" thickBot="1">
      <c r="A88" s="148" t="str">
        <f t="shared" si="6"/>
        <v>D1-COADIUTORE MEDICO-Paramedico (par. 186)</v>
      </c>
      <c r="B88" s="147">
        <v>54</v>
      </c>
      <c r="C88" s="213" t="s">
        <v>396</v>
      </c>
      <c r="D88" s="204" t="s">
        <v>438</v>
      </c>
      <c r="E88" s="205" t="s">
        <v>183</v>
      </c>
      <c r="F88" s="206">
        <v>56.29</v>
      </c>
      <c r="G88" s="207">
        <v>55.34662004782391</v>
      </c>
      <c r="H88" s="206">
        <v>104.02</v>
      </c>
      <c r="I88" s="220">
        <v>68.84</v>
      </c>
      <c r="J88" s="196" t="str">
        <f>CONCATENATE(C88,"      ",D88," ………..…...…….….……………………….………………… ",E88)</f>
        <v>D1      COADIUTORE MEDICO ………..…...…….….……………………….………………… Paramedico (par. 186)</v>
      </c>
      <c r="K88" s="197"/>
      <c r="L88" s="197"/>
      <c r="M88" s="197"/>
      <c r="N88" s="197"/>
      <c r="O88" s="197"/>
      <c r="P88" s="147">
        <v>30</v>
      </c>
      <c r="Q88" s="147">
        <v>65</v>
      </c>
      <c r="R88" s="160"/>
      <c r="S88" s="147">
        <v>30</v>
      </c>
      <c r="T88" s="147">
        <v>65</v>
      </c>
      <c r="U88" s="147"/>
    </row>
    <row r="89" spans="1:21" ht="18" customHeight="1" hidden="1" thickBot="1">
      <c r="A89" s="148" t="str">
        <f t="shared" si="6"/>
        <v>D1-MACCHINISTA-Macchinista (par. 186)</v>
      </c>
      <c r="B89" s="174">
        <v>55</v>
      </c>
      <c r="C89" s="213" t="s">
        <v>396</v>
      </c>
      <c r="D89" s="204" t="s">
        <v>439</v>
      </c>
      <c r="E89" s="205" t="s">
        <v>184</v>
      </c>
      <c r="F89" s="206">
        <v>144.09</v>
      </c>
      <c r="G89" s="207">
        <v>190.48634746187258</v>
      </c>
      <c r="H89" s="206">
        <v>208.96</v>
      </c>
      <c r="I89" s="220">
        <v>68.84</v>
      </c>
      <c r="J89" s="196" t="str">
        <f>CONCATENATE(C89,"      ",D89," ……...…..……....…..….…….….……………………….………………… ",E89)</f>
        <v>D1      MACCHINISTA ……...…..……....…..….…….….……………………….………………… Macchinista (par. 186)</v>
      </c>
      <c r="K89" s="197"/>
      <c r="L89" s="197"/>
      <c r="M89" s="197"/>
      <c r="N89" s="197"/>
      <c r="O89" s="197"/>
      <c r="P89" s="147">
        <v>25</v>
      </c>
      <c r="Q89" s="147">
        <v>58</v>
      </c>
      <c r="R89" s="160"/>
      <c r="S89" s="147">
        <v>25</v>
      </c>
      <c r="T89" s="147">
        <v>58</v>
      </c>
      <c r="U89" s="147"/>
    </row>
    <row r="90" spans="1:21" ht="18" customHeight="1" hidden="1" thickBot="1">
      <c r="A90" s="148" t="str">
        <f t="shared" si="6"/>
        <v>D1-NOSTROMO -Nostromo  (par. 186)</v>
      </c>
      <c r="B90" s="147">
        <v>56</v>
      </c>
      <c r="C90" s="213" t="s">
        <v>396</v>
      </c>
      <c r="D90" s="204" t="s">
        <v>440</v>
      </c>
      <c r="E90" s="205" t="s">
        <v>185</v>
      </c>
      <c r="F90" s="206">
        <v>153.9</v>
      </c>
      <c r="G90" s="207">
        <v>113.91283240457167</v>
      </c>
      <c r="H90" s="206">
        <v>144.61</v>
      </c>
      <c r="I90" s="220">
        <v>68.84</v>
      </c>
      <c r="J90" s="196" t="str">
        <f>CONCATENATE(C90,"      ",D90," ……..……....……....…..….…….….……………………….………………… ",E90)</f>
        <v>D1      NOSTROMO  ……..……....……....…..….…….….……………………….………………… Nostromo  (par. 186)</v>
      </c>
      <c r="K90" s="197"/>
      <c r="L90" s="197"/>
      <c r="M90" s="197"/>
      <c r="N90" s="197"/>
      <c r="O90" s="197"/>
      <c r="P90" s="147">
        <v>25</v>
      </c>
      <c r="Q90" s="147">
        <v>58</v>
      </c>
      <c r="R90" s="160"/>
      <c r="S90" s="147">
        <v>25</v>
      </c>
      <c r="T90" s="147">
        <v>58</v>
      </c>
      <c r="U90" s="147"/>
    </row>
    <row r="91" spans="1:21" ht="18" customHeight="1" hidden="1" thickBot="1">
      <c r="A91" s="148" t="str">
        <f t="shared" si="6"/>
        <v>D1-SPECIALISTA TECNICO/AMMINISTRATIVO-Revisore Superiore (par. 186)</v>
      </c>
      <c r="B91" s="174">
        <v>57</v>
      </c>
      <c r="C91" s="213" t="s">
        <v>396</v>
      </c>
      <c r="D91" s="204" t="s">
        <v>441</v>
      </c>
      <c r="E91" s="205" t="s">
        <v>186</v>
      </c>
      <c r="F91" s="206">
        <v>54.23</v>
      </c>
      <c r="G91" s="207">
        <v>54.107123490009144</v>
      </c>
      <c r="H91" s="206">
        <v>104.02</v>
      </c>
      <c r="I91" s="220">
        <v>68.84</v>
      </c>
      <c r="J91" s="196" t="str">
        <f>CONCATENATE(C91,"      ",D91," ….……....……………………. ",E91)</f>
        <v>D1      SPECIALISTA TECNICO/AMMINISTRATIVO ….……....……………………. Revisore Superiore (par. 186)</v>
      </c>
      <c r="K91" s="197"/>
      <c r="L91" s="197"/>
      <c r="M91" s="197"/>
      <c r="N91" s="197"/>
      <c r="O91" s="197"/>
      <c r="P91" s="147">
        <v>30</v>
      </c>
      <c r="Q91" s="147">
        <v>65</v>
      </c>
      <c r="R91" s="160"/>
      <c r="S91" s="147">
        <v>30</v>
      </c>
      <c r="T91" s="147">
        <v>65</v>
      </c>
      <c r="U91" s="147"/>
    </row>
    <row r="92" spans="1:21" ht="18" customHeight="1" hidden="1" thickBot="1">
      <c r="A92" s="148" t="str">
        <f t="shared" si="6"/>
        <v>D1-SPECIALISTA TECNICO/AMMINISTRATIVO-Segretario Superiore (par. 186)</v>
      </c>
      <c r="B92" s="147">
        <v>58</v>
      </c>
      <c r="C92" s="213" t="s">
        <v>396</v>
      </c>
      <c r="D92" s="204" t="s">
        <v>441</v>
      </c>
      <c r="E92" s="205" t="s">
        <v>187</v>
      </c>
      <c r="F92" s="206">
        <v>54.23</v>
      </c>
      <c r="G92" s="207">
        <v>54.107123490009144</v>
      </c>
      <c r="H92" s="206">
        <v>104.02</v>
      </c>
      <c r="I92" s="220">
        <v>68.84</v>
      </c>
      <c r="J92" s="196" t="str">
        <f>CONCATENATE(C92,"      ",D92," ….……....……………………. ",E92)</f>
        <v>D1      SPECIALISTA TECNICO/AMMINISTRATIVO ….……....……………………. Segretario Superiore (par. 186)</v>
      </c>
      <c r="K92" s="197"/>
      <c r="L92" s="197"/>
      <c r="M92" s="197"/>
      <c r="N92" s="197"/>
      <c r="O92" s="197"/>
      <c r="P92" s="147">
        <v>30</v>
      </c>
      <c r="Q92" s="147">
        <v>65</v>
      </c>
      <c r="R92" s="160"/>
      <c r="S92" s="147">
        <v>30</v>
      </c>
      <c r="T92" s="147">
        <v>65</v>
      </c>
      <c r="U92" s="147"/>
    </row>
    <row r="93" spans="1:21" ht="18" customHeight="1" hidden="1" thickBot="1">
      <c r="A93" s="148" t="str">
        <f t="shared" si="6"/>
        <v>D1-SPECIALISTA TECNICO/AMMINISTRATIVO-Segretario Superiore d'Informatica (par. 186)</v>
      </c>
      <c r="B93" s="174">
        <v>59</v>
      </c>
      <c r="C93" s="213" t="s">
        <v>396</v>
      </c>
      <c r="D93" s="204" t="s">
        <v>441</v>
      </c>
      <c r="E93" s="205" t="s">
        <v>188</v>
      </c>
      <c r="F93" s="206">
        <v>54.23</v>
      </c>
      <c r="G93" s="207">
        <v>54.107123490009144</v>
      </c>
      <c r="H93" s="206">
        <v>104.02</v>
      </c>
      <c r="I93" s="220">
        <v>68.84</v>
      </c>
      <c r="J93" s="196" t="str">
        <f>CONCATENATE(C93,"      ",D93," ….……....……………………. ",E93)</f>
        <v>D1      SPECIALISTA TECNICO/AMMINISTRATIVO ….……....……………………. Segretario Superiore d'Informatica (par. 186)</v>
      </c>
      <c r="K93" s="197"/>
      <c r="L93" s="197"/>
      <c r="M93" s="197"/>
      <c r="N93" s="197"/>
      <c r="O93" s="197"/>
      <c r="P93" s="147">
        <v>30</v>
      </c>
      <c r="Q93" s="147">
        <v>65</v>
      </c>
      <c r="R93" s="160"/>
      <c r="S93" s="147">
        <v>30</v>
      </c>
      <c r="T93" s="147">
        <v>65</v>
      </c>
      <c r="U93" s="147"/>
    </row>
    <row r="94" spans="1:21" ht="18" customHeight="1" hidden="1" thickBot="1">
      <c r="A94" s="148" t="str">
        <f t="shared" si="6"/>
        <v>D1-SPECIALISTA TECNICO/AMMINISTRATIVO-Segretario Tecnico Superiore (par. 186)</v>
      </c>
      <c r="B94" s="147">
        <v>60</v>
      </c>
      <c r="C94" s="213" t="s">
        <v>396</v>
      </c>
      <c r="D94" s="204" t="s">
        <v>441</v>
      </c>
      <c r="E94" s="205" t="s">
        <v>189</v>
      </c>
      <c r="F94" s="206">
        <v>54.23</v>
      </c>
      <c r="G94" s="207">
        <v>54.107123490009144</v>
      </c>
      <c r="H94" s="206">
        <v>104.02</v>
      </c>
      <c r="I94" s="220">
        <v>68.84</v>
      </c>
      <c r="J94" s="196" t="str">
        <f>CONCATENATE(C94,"      ",D94," ….……....……………………. ",E94)</f>
        <v>D1      SPECIALISTA TECNICO/AMMINISTRATIVO ….……....……………………. Segretario Tecnico Superiore (par. 186)</v>
      </c>
      <c r="K94" s="197"/>
      <c r="L94" s="197"/>
      <c r="M94" s="197"/>
      <c r="N94" s="197"/>
      <c r="O94" s="197"/>
      <c r="P94" s="147">
        <v>30</v>
      </c>
      <c r="Q94" s="147">
        <v>65</v>
      </c>
      <c r="R94" s="160"/>
      <c r="S94" s="147">
        <v>30</v>
      </c>
      <c r="T94" s="147">
        <v>65</v>
      </c>
      <c r="U94" s="147"/>
    </row>
    <row r="95" spans="1:21" ht="18" customHeight="1" hidden="1" thickBot="1">
      <c r="A95" s="148" t="str">
        <f t="shared" si="6"/>
        <v>D1-SPECIALISTA TECNICO/AMMINISTRATIVO-Ex profilo non previsto</v>
      </c>
      <c r="B95" s="174">
        <v>61</v>
      </c>
      <c r="C95" s="213" t="s">
        <v>396</v>
      </c>
      <c r="D95" s="204" t="s">
        <v>441</v>
      </c>
      <c r="E95" s="200" t="s">
        <v>374</v>
      </c>
      <c r="F95" s="206">
        <v>54.23</v>
      </c>
      <c r="G95" s="207">
        <v>54.107123490009144</v>
      </c>
      <c r="H95" s="206">
        <v>104.02</v>
      </c>
      <c r="I95" s="220">
        <v>68.84</v>
      </c>
      <c r="J95" s="196" t="str">
        <f>CONCATENATE(C95,"      ",D95,"                                        ",E95)</f>
        <v>D1      SPECIALISTA TECNICO/AMMINISTRATIVO                                        Ex profilo non previsto</v>
      </c>
      <c r="K95" s="197"/>
      <c r="L95" s="197"/>
      <c r="M95" s="197"/>
      <c r="N95" s="197"/>
      <c r="O95" s="197"/>
      <c r="P95" s="147">
        <v>30</v>
      </c>
      <c r="Q95" s="147">
        <v>65</v>
      </c>
      <c r="R95" s="160"/>
      <c r="S95" s="147">
        <v>30</v>
      </c>
      <c r="T95" s="147">
        <v>65</v>
      </c>
      <c r="U95" s="147"/>
    </row>
    <row r="96" spans="1:21" ht="18" customHeight="1" hidden="1" thickBot="1">
      <c r="A96" s="148" t="str">
        <f t="shared" si="6"/>
        <v>D1- SPECIALISTA TECNICO COMMERCIALE-Capo Gestione Superiore (par. 186)</v>
      </c>
      <c r="B96" s="147">
        <v>62</v>
      </c>
      <c r="C96" s="213" t="s">
        <v>396</v>
      </c>
      <c r="D96" s="204" t="s">
        <v>442</v>
      </c>
      <c r="E96" s="205" t="s">
        <v>190</v>
      </c>
      <c r="F96" s="206">
        <v>58.88</v>
      </c>
      <c r="G96" s="207">
        <v>56.89599074509237</v>
      </c>
      <c r="H96" s="206">
        <v>137.22</v>
      </c>
      <c r="I96" s="220">
        <v>68.84</v>
      </c>
      <c r="J96" s="196" t="str">
        <f>CONCATENATE(C96,"      ",D96," ….……........….…………………. ",E96)</f>
        <v>D1       SPECIALISTA TECNICO COMMERCIALE ….……........….…………………. Capo Gestione Superiore (par. 186)</v>
      </c>
      <c r="K96" s="197"/>
      <c r="L96" s="197"/>
      <c r="M96" s="197"/>
      <c r="N96" s="197"/>
      <c r="O96" s="197"/>
      <c r="P96" s="147">
        <v>30</v>
      </c>
      <c r="Q96" s="147">
        <v>65</v>
      </c>
      <c r="R96" s="160"/>
      <c r="S96" s="147">
        <v>30</v>
      </c>
      <c r="T96" s="147">
        <v>65</v>
      </c>
      <c r="U96" s="147"/>
    </row>
    <row r="97" spans="1:21" ht="18" customHeight="1" hidden="1" thickBot="1">
      <c r="A97" s="148" t="str">
        <f t="shared" si="6"/>
        <v>D1- SPECIALISTA TECNICO COMMERCIALE-Ex profilo non previsto</v>
      </c>
      <c r="B97" s="174">
        <v>63</v>
      </c>
      <c r="C97" s="213" t="s">
        <v>396</v>
      </c>
      <c r="D97" s="204" t="s">
        <v>442</v>
      </c>
      <c r="E97" s="200" t="s">
        <v>374</v>
      </c>
      <c r="F97" s="206">
        <v>58.88</v>
      </c>
      <c r="G97" s="207">
        <v>56.89599074509237</v>
      </c>
      <c r="H97" s="206">
        <v>137.22</v>
      </c>
      <c r="I97" s="220">
        <v>68.84</v>
      </c>
      <c r="J97" s="196" t="str">
        <f>CONCATENATE(C97,"      ",D97,"                                         ",E97)</f>
        <v>D1       SPECIALISTA TECNICO COMMERCIALE                                         Ex profilo non previsto</v>
      </c>
      <c r="K97" s="197"/>
      <c r="L97" s="197"/>
      <c r="M97" s="197"/>
      <c r="N97" s="197"/>
      <c r="O97" s="197"/>
      <c r="P97" s="147">
        <v>30</v>
      </c>
      <c r="Q97" s="147">
        <v>65</v>
      </c>
      <c r="R97" s="160"/>
      <c r="S97" s="147">
        <v>30</v>
      </c>
      <c r="T97" s="147">
        <v>65</v>
      </c>
      <c r="U97" s="147"/>
    </row>
    <row r="98" spans="1:21" ht="18" customHeight="1" hidden="1" thickBot="1">
      <c r="A98" s="148" t="str">
        <f t="shared" si="6"/>
        <v>D1-TECNICO SANITARIO-Tecnico Sanitario (par. 186)</v>
      </c>
      <c r="B98" s="147">
        <v>64</v>
      </c>
      <c r="C98" s="213" t="s">
        <v>396</v>
      </c>
      <c r="D98" s="204" t="s">
        <v>443</v>
      </c>
      <c r="E98" s="205" t="s">
        <v>191</v>
      </c>
      <c r="F98" s="206">
        <v>65.59</v>
      </c>
      <c r="G98" s="207">
        <v>60.92435455799036</v>
      </c>
      <c r="H98" s="206">
        <v>104.02</v>
      </c>
      <c r="I98" s="220">
        <v>68.84</v>
      </c>
      <c r="J98" s="196" t="str">
        <f>CONCATENATE(C98,"      ",D98," ….……….……....…..….……………...………………………… ",E98)</f>
        <v>D1      TECNICO SANITARIO ….……….……....…..….……………...………………………… Tecnico Sanitario (par. 186)</v>
      </c>
      <c r="K98" s="197"/>
      <c r="L98" s="197"/>
      <c r="M98" s="197"/>
      <c r="N98" s="197"/>
      <c r="O98" s="197"/>
      <c r="P98" s="147">
        <v>30</v>
      </c>
      <c r="Q98" s="147">
        <v>65</v>
      </c>
      <c r="R98" s="160"/>
      <c r="S98" s="147">
        <v>30</v>
      </c>
      <c r="T98" s="147">
        <v>65</v>
      </c>
      <c r="U98" s="147"/>
    </row>
    <row r="99" spans="1:21" ht="18" customHeight="1" hidden="1" thickBot="1">
      <c r="A99" s="148" t="str">
        <f t="shared" si="6"/>
        <v>D1-UFFICIALE-Ufficiale</v>
      </c>
      <c r="B99" s="174">
        <v>65</v>
      </c>
      <c r="C99" s="213" t="s">
        <v>396</v>
      </c>
      <c r="D99" s="204" t="s">
        <v>444</v>
      </c>
      <c r="E99" s="205" t="s">
        <v>192</v>
      </c>
      <c r="F99" s="206">
        <v>197.29</v>
      </c>
      <c r="G99" s="207">
        <v>129.71641351670996</v>
      </c>
      <c r="H99" s="206">
        <v>167.85</v>
      </c>
      <c r="I99" s="220">
        <v>68.84</v>
      </c>
      <c r="J99" s="196" t="str">
        <f>CONCATENATE(C99,"      ",D99," …………....……......…..….….….…......….………………….………………… ",E99)</f>
        <v>D1      UFFICIALE …………....……......…..….….….…......….………………….………………… Ufficiale</v>
      </c>
      <c r="K99" s="197"/>
      <c r="L99" s="197"/>
      <c r="M99" s="197"/>
      <c r="N99" s="197"/>
      <c r="O99" s="197"/>
      <c r="P99" s="147">
        <v>25</v>
      </c>
      <c r="Q99" s="147">
        <v>60</v>
      </c>
      <c r="R99" s="147" t="s">
        <v>124</v>
      </c>
      <c r="S99" s="147">
        <v>25</v>
      </c>
      <c r="T99" s="147">
        <v>60</v>
      </c>
      <c r="U99" s="147"/>
    </row>
    <row r="100" spans="1:21" ht="18" customHeight="1" hidden="1" thickBot="1">
      <c r="A100" s="148" t="str">
        <f t="shared" si="6"/>
        <v>D1-UFFICIALE DI MACCHINA-Ufficiale di Macchina</v>
      </c>
      <c r="B100" s="147">
        <v>66</v>
      </c>
      <c r="C100" s="213" t="s">
        <v>396</v>
      </c>
      <c r="D100" s="204" t="s">
        <v>445</v>
      </c>
      <c r="E100" s="205" t="s">
        <v>193</v>
      </c>
      <c r="F100" s="206">
        <v>180.24</v>
      </c>
      <c r="G100" s="207">
        <v>129.71641351670996</v>
      </c>
      <c r="H100" s="206">
        <v>167.85</v>
      </c>
      <c r="I100" s="220">
        <v>68.84</v>
      </c>
      <c r="J100" s="196" t="str">
        <f>CONCATENATE(C100,"      ",D100," …..…...…….…..……………………….………………… ",E100)</f>
        <v>D1      UFFICIALE DI MACCHINA …..…...…….…..……………………….………………… Ufficiale di Macchina</v>
      </c>
      <c r="K100" s="197"/>
      <c r="L100" s="197"/>
      <c r="M100" s="197"/>
      <c r="N100" s="197"/>
      <c r="O100" s="197"/>
      <c r="P100" s="147">
        <v>25</v>
      </c>
      <c r="Q100" s="147">
        <v>60</v>
      </c>
      <c r="R100" s="160"/>
      <c r="S100" s="147">
        <v>25</v>
      </c>
      <c r="T100" s="147">
        <v>60</v>
      </c>
      <c r="U100" s="147"/>
    </row>
    <row r="101" spans="1:21" ht="18" customHeight="1" hidden="1" thickBot="1">
      <c r="A101" s="148" t="str">
        <f aca="true" t="shared" si="10" ref="A101:A164">C101&amp;$A$34&amp;D101&amp;$A$34&amp;E101</f>
        <v>D1-UFFICIALE NAVALE-Ufficiale Navale</v>
      </c>
      <c r="B101" s="174">
        <v>67</v>
      </c>
      <c r="C101" s="213" t="s">
        <v>396</v>
      </c>
      <c r="D101" s="204" t="s">
        <v>446</v>
      </c>
      <c r="E101" s="205" t="s">
        <v>194</v>
      </c>
      <c r="F101" s="206">
        <v>197.29</v>
      </c>
      <c r="G101" s="207">
        <v>139.9422601186818</v>
      </c>
      <c r="H101" s="206">
        <v>167.85</v>
      </c>
      <c r="I101" s="220">
        <v>68.84</v>
      </c>
      <c r="J101" s="196" t="str">
        <f>CONCATENATE(C101,"      ",D101," ……..…….........…….….……………………….………………… ",E101)</f>
        <v>D1      UFFICIALE NAVALE ……..…….........…….….……………………….………………… Ufficiale Navale</v>
      </c>
      <c r="K101" s="197"/>
      <c r="L101" s="197"/>
      <c r="M101" s="197"/>
      <c r="N101" s="197"/>
      <c r="O101" s="197"/>
      <c r="P101" s="147">
        <v>25</v>
      </c>
      <c r="Q101" s="147">
        <v>60</v>
      </c>
      <c r="R101" s="160"/>
      <c r="S101" s="147">
        <v>25</v>
      </c>
      <c r="T101" s="147">
        <v>60</v>
      </c>
      <c r="U101" s="147"/>
    </row>
    <row r="102" spans="1:21" ht="18" customHeight="1" hidden="1" thickBot="1">
      <c r="A102" s="148" t="str">
        <f t="shared" si="10"/>
        <v>D1-EX ISPETTORE-Ispettore (par. 156)</v>
      </c>
      <c r="B102" s="147">
        <v>68</v>
      </c>
      <c r="C102" s="213" t="s">
        <v>396</v>
      </c>
      <c r="D102" s="204" t="s">
        <v>36</v>
      </c>
      <c r="E102" s="205" t="s">
        <v>195</v>
      </c>
      <c r="F102" s="210">
        <v>66.11</v>
      </c>
      <c r="G102" s="211">
        <v>61.23422869744405</v>
      </c>
      <c r="H102" s="210">
        <v>104.02</v>
      </c>
      <c r="I102" s="221">
        <v>68.84</v>
      </c>
      <c r="J102" s="196" t="str">
        <f>CONCATENATE(C102,"      ",D102,"                    ",E102)</f>
        <v>D1      EX ISPETTORE                    Ispettore (par. 156)</v>
      </c>
      <c r="K102" s="197"/>
      <c r="L102" s="197"/>
      <c r="M102" s="197"/>
      <c r="N102" s="197"/>
      <c r="O102" s="197"/>
      <c r="P102" s="147">
        <v>30</v>
      </c>
      <c r="Q102" s="147">
        <v>65</v>
      </c>
      <c r="R102" s="160"/>
      <c r="S102" s="147">
        <v>30</v>
      </c>
      <c r="T102" s="147">
        <v>65</v>
      </c>
      <c r="U102" s="147"/>
    </row>
    <row r="103" spans="1:21" ht="18" customHeight="1" hidden="1" thickBot="1">
      <c r="A103" s="148" t="str">
        <f t="shared" si="10"/>
        <v>D1-EX ISPETTORE-Ispettore (par. 167)</v>
      </c>
      <c r="B103" s="174">
        <v>69</v>
      </c>
      <c r="C103" s="214" t="s">
        <v>396</v>
      </c>
      <c r="D103" s="209" t="s">
        <v>36</v>
      </c>
      <c r="E103" s="205" t="s">
        <v>196</v>
      </c>
      <c r="F103" s="210">
        <v>66.11</v>
      </c>
      <c r="G103" s="211">
        <v>61.23422869744405</v>
      </c>
      <c r="H103" s="210">
        <v>104.02</v>
      </c>
      <c r="I103" s="221">
        <v>68.84</v>
      </c>
      <c r="J103" s="196" t="str">
        <f>CONCATENATE(C103,"      ",D103,"                    ",E103)</f>
        <v>D1      EX ISPETTORE                    Ispettore (par. 167)</v>
      </c>
      <c r="K103" s="197"/>
      <c r="L103" s="197"/>
      <c r="M103" s="197"/>
      <c r="N103" s="197"/>
      <c r="O103" s="197"/>
      <c r="P103" s="147">
        <v>30</v>
      </c>
      <c r="Q103" s="147">
        <v>65</v>
      </c>
      <c r="R103" s="160"/>
      <c r="S103" s="147">
        <v>30</v>
      </c>
      <c r="T103" s="147">
        <v>65</v>
      </c>
      <c r="U103" s="147"/>
    </row>
    <row r="104" spans="1:21" ht="18" customHeight="1" hidden="1" thickBot="1">
      <c r="A104" s="148" t="str">
        <f t="shared" si="10"/>
        <v>D2-ANALISTA CONTABILE-Ex profilo non previsto</v>
      </c>
      <c r="B104" s="147">
        <v>70</v>
      </c>
      <c r="C104" s="212" t="s">
        <v>397</v>
      </c>
      <c r="D104" s="199" t="s">
        <v>431</v>
      </c>
      <c r="E104" s="200" t="s">
        <v>374</v>
      </c>
      <c r="F104" s="201">
        <v>54.23</v>
      </c>
      <c r="G104" s="202">
        <v>51.90391835849339</v>
      </c>
      <c r="H104" s="201">
        <v>104.02</v>
      </c>
      <c r="I104" s="219">
        <v>35.69</v>
      </c>
      <c r="J104" s="196" t="str">
        <f>CONCATENATE(C104,"      ",D104,"                    ",E104)</f>
        <v>D2      ANALISTA CONTABILE                    Ex profilo non previsto</v>
      </c>
      <c r="K104" s="197"/>
      <c r="L104" s="197"/>
      <c r="M104" s="197"/>
      <c r="N104" s="197"/>
      <c r="O104" s="197"/>
      <c r="P104" s="147">
        <v>30</v>
      </c>
      <c r="Q104" s="147">
        <v>65</v>
      </c>
      <c r="R104" s="160"/>
      <c r="S104" s="147">
        <v>30</v>
      </c>
      <c r="T104" s="147">
        <v>65</v>
      </c>
      <c r="U104" s="147"/>
    </row>
    <row r="105" spans="1:21" ht="18" customHeight="1" hidden="1" thickBot="1">
      <c r="A105" s="148" t="str">
        <f t="shared" si="10"/>
        <v>D2-ANALISTA PROGRAMMATORE-Ex profilo non previsto</v>
      </c>
      <c r="B105" s="174">
        <v>71</v>
      </c>
      <c r="C105" s="213" t="s">
        <v>397</v>
      </c>
      <c r="D105" s="204" t="s">
        <v>432</v>
      </c>
      <c r="E105" s="200" t="s">
        <v>374</v>
      </c>
      <c r="F105" s="206">
        <v>54.23</v>
      </c>
      <c r="G105" s="207">
        <v>51.90391835849339</v>
      </c>
      <c r="H105" s="206">
        <v>104.02</v>
      </c>
      <c r="I105" s="220">
        <v>35.69</v>
      </c>
      <c r="J105" s="196" t="str">
        <f>CONCATENATE(C105,"      ",D105,"                    ",E105)</f>
        <v>D2      ANALISTA PROGRAMMATORE                    Ex profilo non previsto</v>
      </c>
      <c r="K105" s="197"/>
      <c r="L105" s="197"/>
      <c r="M105" s="197"/>
      <c r="N105" s="197"/>
      <c r="O105" s="197"/>
      <c r="P105" s="147">
        <v>30</v>
      </c>
      <c r="Q105" s="147">
        <v>65</v>
      </c>
      <c r="R105" s="160"/>
      <c r="S105" s="147">
        <v>30</v>
      </c>
      <c r="T105" s="147">
        <v>65</v>
      </c>
      <c r="U105" s="147"/>
    </row>
    <row r="106" spans="1:21" ht="18" customHeight="1" hidden="1" thickBot="1">
      <c r="A106" s="148" t="str">
        <f t="shared" si="10"/>
        <v>D2-CAPO ELETTRICISTA-Capo Elettricista (par. 156)</v>
      </c>
      <c r="B106" s="147">
        <v>72</v>
      </c>
      <c r="C106" s="213" t="s">
        <v>397</v>
      </c>
      <c r="D106" s="204" t="s">
        <v>433</v>
      </c>
      <c r="E106" s="205" t="s">
        <v>197</v>
      </c>
      <c r="F106" s="206">
        <v>160.1</v>
      </c>
      <c r="G106" s="207">
        <v>115.42811694650023</v>
      </c>
      <c r="H106" s="222">
        <v>144.61</v>
      </c>
      <c r="I106" s="220"/>
      <c r="J106" s="196" t="str">
        <f>CONCATENATE(C106,"      ",D106," …….….....….…….….……………………….………………… ",E106)</f>
        <v>D2      CAPO ELETTRICISTA …….….....….…….….……………………….………………… Capo Elettricista (par. 156)</v>
      </c>
      <c r="K106" s="197"/>
      <c r="L106" s="197"/>
      <c r="M106" s="197"/>
      <c r="N106" s="197"/>
      <c r="O106" s="197"/>
      <c r="P106" s="147">
        <v>25</v>
      </c>
      <c r="Q106" s="147">
        <v>58</v>
      </c>
      <c r="R106" s="160"/>
      <c r="S106" s="147">
        <v>25</v>
      </c>
      <c r="T106" s="147">
        <v>58</v>
      </c>
      <c r="U106" s="147"/>
    </row>
    <row r="107" spans="1:21" ht="18" customHeight="1" hidden="1" thickBot="1">
      <c r="A107" s="148" t="str">
        <f t="shared" si="10"/>
        <v>D2-CAPO ELETTRICISTA-Capo Elettricista (par. 167)</v>
      </c>
      <c r="B107" s="174">
        <v>73</v>
      </c>
      <c r="C107" s="213" t="s">
        <v>397</v>
      </c>
      <c r="D107" s="204" t="s">
        <v>433</v>
      </c>
      <c r="E107" s="205" t="s">
        <v>198</v>
      </c>
      <c r="F107" s="206">
        <v>160.1</v>
      </c>
      <c r="G107" s="207">
        <v>115.42811694650023</v>
      </c>
      <c r="H107" s="222">
        <v>144.61</v>
      </c>
      <c r="I107" s="220">
        <v>35.69</v>
      </c>
      <c r="J107" s="196" t="str">
        <f>CONCATENATE(C107,"      ",D107," …….….....….…….….……………………….………………… ",E107)</f>
        <v>D2      CAPO ELETTRICISTA …….….....….…….….……………………….………………… Capo Elettricista (par. 167)</v>
      </c>
      <c r="K107" s="197"/>
      <c r="L107" s="197"/>
      <c r="M107" s="197"/>
      <c r="N107" s="197"/>
      <c r="O107" s="197"/>
      <c r="P107" s="147">
        <v>25</v>
      </c>
      <c r="Q107" s="147">
        <v>58</v>
      </c>
      <c r="R107" s="160"/>
      <c r="S107" s="147">
        <v>25</v>
      </c>
      <c r="T107" s="147">
        <v>58</v>
      </c>
      <c r="U107" s="147"/>
    </row>
    <row r="108" spans="1:21" ht="18" customHeight="1" hidden="1" thickBot="1">
      <c r="A108" s="148" t="str">
        <f t="shared" si="10"/>
        <v>D2-CAPO MOTORISTA-Capo Motorista (par. 156)</v>
      </c>
      <c r="B108" s="147">
        <v>74</v>
      </c>
      <c r="C108" s="213" t="s">
        <v>397</v>
      </c>
      <c r="D108" s="204" t="s">
        <v>434</v>
      </c>
      <c r="E108" s="205" t="s">
        <v>199</v>
      </c>
      <c r="F108" s="206">
        <v>160.1</v>
      </c>
      <c r="G108" s="207">
        <v>115.42811694650023</v>
      </c>
      <c r="H108" s="206">
        <v>144.61</v>
      </c>
      <c r="I108" s="220"/>
      <c r="J108" s="196" t="str">
        <f>CONCATENATE(C108,"      ",D108," …………..…..….…….….……………………….………………… ",E108)</f>
        <v>D2      CAPO MOTORISTA …………..…..….…….….……………………….………………… Capo Motorista (par. 156)</v>
      </c>
      <c r="K108" s="197"/>
      <c r="L108" s="197"/>
      <c r="M108" s="197"/>
      <c r="N108" s="197"/>
      <c r="O108" s="197"/>
      <c r="P108" s="147">
        <v>25</v>
      </c>
      <c r="Q108" s="147">
        <v>58</v>
      </c>
      <c r="R108" s="160"/>
      <c r="S108" s="147">
        <v>25</v>
      </c>
      <c r="T108" s="147">
        <v>58</v>
      </c>
      <c r="U108" s="147"/>
    </row>
    <row r="109" spans="1:21" ht="18" customHeight="1" hidden="1" thickBot="1">
      <c r="A109" s="148" t="str">
        <f t="shared" si="10"/>
        <v>D2-CAPO MOTORISTA-Capo Motorista (par. 167)</v>
      </c>
      <c r="B109" s="174">
        <v>75</v>
      </c>
      <c r="C109" s="213" t="s">
        <v>397</v>
      </c>
      <c r="D109" s="204" t="s">
        <v>434</v>
      </c>
      <c r="E109" s="205" t="s">
        <v>200</v>
      </c>
      <c r="F109" s="206">
        <v>160.1</v>
      </c>
      <c r="G109" s="207">
        <v>115.42811694650023</v>
      </c>
      <c r="H109" s="206">
        <v>144.61</v>
      </c>
      <c r="I109" s="220">
        <v>35.69</v>
      </c>
      <c r="J109" s="196" t="str">
        <f>CONCATENATE(C109,"      ",D109," …………..…..….…….….……………………….………………… ",E109)</f>
        <v>D2      CAPO MOTORISTA …………..…..….…….….……………………….………………… Capo Motorista (par. 167)</v>
      </c>
      <c r="K109" s="197"/>
      <c r="L109" s="197"/>
      <c r="M109" s="197"/>
      <c r="N109" s="197"/>
      <c r="O109" s="197"/>
      <c r="P109" s="147">
        <v>25</v>
      </c>
      <c r="Q109" s="147">
        <v>58</v>
      </c>
      <c r="R109" s="160"/>
      <c r="S109" s="147">
        <v>25</v>
      </c>
      <c r="T109" s="147">
        <v>58</v>
      </c>
      <c r="U109" s="147"/>
    </row>
    <row r="110" spans="1:21" ht="18" customHeight="1" hidden="1" thickBot="1">
      <c r="A110" s="148" t="str">
        <f t="shared" si="10"/>
        <v>D2-CAPO STAZIONE-Capo Stazione(par. 156)</v>
      </c>
      <c r="B110" s="147">
        <v>76</v>
      </c>
      <c r="C110" s="213" t="s">
        <v>397</v>
      </c>
      <c r="D110" s="204" t="s">
        <v>435</v>
      </c>
      <c r="E110" s="205" t="s">
        <v>201</v>
      </c>
      <c r="F110" s="206">
        <v>98.13</v>
      </c>
      <c r="G110" s="207">
        <v>78.24322021205721</v>
      </c>
      <c r="H110" s="206">
        <v>166.2</v>
      </c>
      <c r="I110" s="220"/>
      <c r="J110" s="196" t="str">
        <f>CONCATENATE(C110,"      ",D110," ……..……....…..….…….….……………………….………………… ",E110)</f>
        <v>D2      CAPO STAZIONE ……..……....…..….…….….……………………….………………… Capo Stazione(par. 156)</v>
      </c>
      <c r="K110" s="197"/>
      <c r="L110" s="197"/>
      <c r="M110" s="197"/>
      <c r="N110" s="197"/>
      <c r="O110" s="197"/>
      <c r="P110" s="147">
        <v>30</v>
      </c>
      <c r="Q110" s="147">
        <v>65</v>
      </c>
      <c r="R110" s="160"/>
      <c r="S110" s="147">
        <v>30</v>
      </c>
      <c r="T110" s="147">
        <v>65</v>
      </c>
      <c r="U110" s="147"/>
    </row>
    <row r="111" spans="1:21" ht="18" customHeight="1" hidden="1" thickBot="1">
      <c r="A111" s="148" t="str">
        <f t="shared" si="10"/>
        <v>D2-CAPO STAZIONE-Capo Stazione(par. 167)</v>
      </c>
      <c r="B111" s="174">
        <v>77</v>
      </c>
      <c r="C111" s="213" t="s">
        <v>397</v>
      </c>
      <c r="D111" s="204" t="s">
        <v>435</v>
      </c>
      <c r="E111" s="205" t="s">
        <v>202</v>
      </c>
      <c r="F111" s="206">
        <v>98.13</v>
      </c>
      <c r="G111" s="207">
        <v>78.24322021205721</v>
      </c>
      <c r="H111" s="206">
        <v>166.2</v>
      </c>
      <c r="I111" s="220">
        <v>35.69</v>
      </c>
      <c r="J111" s="196" t="str">
        <f>CONCATENATE(C111,"      ",D111," ……..……....…..….…….….……………………….………………… ",E111)</f>
        <v>D2      CAPO STAZIONE ……..……....…..….…….….……………………….………………… Capo Stazione(par. 167)</v>
      </c>
      <c r="K111" s="197"/>
      <c r="L111" s="197"/>
      <c r="M111" s="197"/>
      <c r="N111" s="197"/>
      <c r="O111" s="197"/>
      <c r="P111" s="147">
        <v>30</v>
      </c>
      <c r="Q111" s="147">
        <v>65</v>
      </c>
      <c r="R111" s="160"/>
      <c r="S111" s="147">
        <v>30</v>
      </c>
      <c r="T111" s="147">
        <v>65</v>
      </c>
      <c r="U111" s="147"/>
    </row>
    <row r="112" spans="1:21" ht="18" customHeight="1" hidden="1" thickBot="1">
      <c r="A112" s="148" t="str">
        <f t="shared" si="10"/>
        <v>D2-CAPO TECNICO-Capo Tecnico (par. 156)</v>
      </c>
      <c r="B112" s="147">
        <v>78</v>
      </c>
      <c r="C112" s="213" t="s">
        <v>397</v>
      </c>
      <c r="D112" s="204" t="s">
        <v>436</v>
      </c>
      <c r="E112" s="205" t="s">
        <v>203</v>
      </c>
      <c r="F112" s="206">
        <v>73.34</v>
      </c>
      <c r="G112" s="207">
        <v>63.36926151827999</v>
      </c>
      <c r="H112" s="206">
        <v>104.02</v>
      </c>
      <c r="I112" s="220"/>
      <c r="J112" s="196" t="str">
        <f aca="true" t="shared" si="11" ref="J112:J117">CONCATENATE(C112,"      ",D112," ……....……....…..….…….….……………………….………………… ",E112)</f>
        <v>D2      CAPO TECNICO ……....……....…..….…….….……………………….………………… Capo Tecnico (par. 156)</v>
      </c>
      <c r="K112" s="197"/>
      <c r="L112" s="197"/>
      <c r="M112" s="197"/>
      <c r="N112" s="197"/>
      <c r="O112" s="197"/>
      <c r="P112" s="147">
        <v>30</v>
      </c>
      <c r="Q112" s="147">
        <v>65</v>
      </c>
      <c r="R112" s="160"/>
      <c r="S112" s="147">
        <v>30</v>
      </c>
      <c r="T112" s="147">
        <v>65</v>
      </c>
      <c r="U112" s="147"/>
    </row>
    <row r="113" spans="1:21" ht="18" customHeight="1" hidden="1" thickBot="1">
      <c r="A113" s="148" t="str">
        <f t="shared" si="10"/>
        <v>D2-CAPO TECNICO-Capo Tecnico (par. 167)</v>
      </c>
      <c r="B113" s="174">
        <v>79</v>
      </c>
      <c r="C113" s="213" t="s">
        <v>397</v>
      </c>
      <c r="D113" s="204" t="s">
        <v>436</v>
      </c>
      <c r="E113" s="205" t="s">
        <v>204</v>
      </c>
      <c r="F113" s="206">
        <v>73.34</v>
      </c>
      <c r="G113" s="207">
        <v>63.36926151827999</v>
      </c>
      <c r="H113" s="206">
        <v>104.02</v>
      </c>
      <c r="I113" s="220">
        <v>35.69</v>
      </c>
      <c r="J113" s="196" t="str">
        <f t="shared" si="11"/>
        <v>D2      CAPO TECNICO ……....……....…..….…….….……………………….………………… Capo Tecnico (par. 167)</v>
      </c>
      <c r="K113" s="197"/>
      <c r="L113" s="197"/>
      <c r="M113" s="197"/>
      <c r="N113" s="197"/>
      <c r="O113" s="197"/>
      <c r="P113" s="147">
        <v>30</v>
      </c>
      <c r="Q113" s="147">
        <v>65</v>
      </c>
      <c r="R113" s="160"/>
      <c r="S113" s="147">
        <v>30</v>
      </c>
      <c r="T113" s="147">
        <v>65</v>
      </c>
      <c r="U113" s="147"/>
    </row>
    <row r="114" spans="1:21" ht="18" customHeight="1" hidden="1" thickBot="1">
      <c r="A114" s="148" t="str">
        <f t="shared" si="10"/>
        <v>D2-CAPO TECNICO-Capo Tecnico Manutenzione Infrastrutt. (par. 156-167)</v>
      </c>
      <c r="B114" s="147">
        <v>80</v>
      </c>
      <c r="C114" s="213" t="s">
        <v>397</v>
      </c>
      <c r="D114" s="204" t="s">
        <v>436</v>
      </c>
      <c r="E114" s="205" t="s">
        <v>138</v>
      </c>
      <c r="F114" s="206">
        <v>73.34</v>
      </c>
      <c r="G114" s="207">
        <v>63.36926151827999</v>
      </c>
      <c r="H114" s="206">
        <v>111.4</v>
      </c>
      <c r="I114" s="220">
        <v>35.69</v>
      </c>
      <c r="J114" s="196" t="str">
        <f t="shared" si="11"/>
        <v>D2      CAPO TECNICO ……....……....…..….…….….……………………….………………… Capo Tecnico Manutenzione Infrastrutt. (par. 156-167)</v>
      </c>
      <c r="K114" s="197"/>
      <c r="L114" s="197"/>
      <c r="M114" s="197"/>
      <c r="N114" s="197"/>
      <c r="O114" s="197"/>
      <c r="P114" s="147">
        <v>30</v>
      </c>
      <c r="Q114" s="147">
        <v>65</v>
      </c>
      <c r="R114" s="160"/>
      <c r="S114" s="147">
        <v>30</v>
      </c>
      <c r="T114" s="147">
        <v>65</v>
      </c>
      <c r="U114" s="147"/>
    </row>
    <row r="115" spans="1:21" ht="18" customHeight="1" hidden="1" thickBot="1">
      <c r="A115" s="148" t="str">
        <f t="shared" si="10"/>
        <v>D2-CAPO TECNICO-Capo Tecnico Manutenzione Rotabili (par. 156-167)</v>
      </c>
      <c r="B115" s="174">
        <v>81</v>
      </c>
      <c r="C115" s="213" t="s">
        <v>397</v>
      </c>
      <c r="D115" s="204" t="s">
        <v>436</v>
      </c>
      <c r="E115" s="205" t="s">
        <v>205</v>
      </c>
      <c r="F115" s="206">
        <v>73.34</v>
      </c>
      <c r="G115" s="207">
        <v>63.36926151827999</v>
      </c>
      <c r="H115" s="206">
        <v>175.94</v>
      </c>
      <c r="I115" s="220">
        <v>35.69</v>
      </c>
      <c r="J115" s="196" t="str">
        <f t="shared" si="11"/>
        <v>D2      CAPO TECNICO ……....……....…..….…….….……………………….………………… Capo Tecnico Manutenzione Rotabili (par. 156-167)</v>
      </c>
      <c r="K115" s="197"/>
      <c r="L115" s="197"/>
      <c r="M115" s="197"/>
      <c r="N115" s="197"/>
      <c r="O115" s="197"/>
      <c r="P115" s="147">
        <v>30</v>
      </c>
      <c r="Q115" s="147">
        <v>65</v>
      </c>
      <c r="R115" s="160"/>
      <c r="S115" s="147">
        <v>30</v>
      </c>
      <c r="T115" s="147">
        <v>65</v>
      </c>
      <c r="U115" s="147"/>
    </row>
    <row r="116" spans="1:21" ht="18" customHeight="1" hidden="1" thickBot="1">
      <c r="A116" s="148" t="str">
        <f t="shared" si="10"/>
        <v>D2-CAPO TECNICO-Capo Tecnico Officine Navi Traghetto (par. 156-167)</v>
      </c>
      <c r="B116" s="147">
        <v>82</v>
      </c>
      <c r="C116" s="213" t="s">
        <v>397</v>
      </c>
      <c r="D116" s="204" t="s">
        <v>436</v>
      </c>
      <c r="E116" s="205" t="s">
        <v>206</v>
      </c>
      <c r="F116" s="206">
        <v>73.34</v>
      </c>
      <c r="G116" s="207">
        <v>63.36926151827999</v>
      </c>
      <c r="H116" s="206">
        <v>162.94</v>
      </c>
      <c r="I116" s="220">
        <v>35.69</v>
      </c>
      <c r="J116" s="196" t="str">
        <f t="shared" si="11"/>
        <v>D2      CAPO TECNICO ……....……....…..….…….….……………………….………………… Capo Tecnico Officine Navi Traghetto (par. 156-167)</v>
      </c>
      <c r="K116" s="197"/>
      <c r="L116" s="197"/>
      <c r="M116" s="197"/>
      <c r="N116" s="197"/>
      <c r="O116" s="197"/>
      <c r="P116" s="147">
        <v>30</v>
      </c>
      <c r="Q116" s="147">
        <v>65</v>
      </c>
      <c r="R116" s="160"/>
      <c r="S116" s="147">
        <v>30</v>
      </c>
      <c r="T116" s="147">
        <v>65</v>
      </c>
      <c r="U116" s="147"/>
    </row>
    <row r="117" spans="1:21" ht="18" customHeight="1" hidden="1" thickBot="1">
      <c r="A117" s="148" t="str">
        <f t="shared" si="10"/>
        <v>D2-CAPO TECNICO-Capo Tecnico Officine Nazionali Infrastrutt. (par. 156-167)</v>
      </c>
      <c r="B117" s="174">
        <v>83</v>
      </c>
      <c r="C117" s="213" t="s">
        <v>397</v>
      </c>
      <c r="D117" s="204" t="s">
        <v>436</v>
      </c>
      <c r="E117" s="205" t="s">
        <v>137</v>
      </c>
      <c r="F117" s="206">
        <v>73.34</v>
      </c>
      <c r="G117" s="207">
        <v>63.36926151827999</v>
      </c>
      <c r="H117" s="206">
        <v>175.94</v>
      </c>
      <c r="I117" s="220">
        <v>35.69</v>
      </c>
      <c r="J117" s="196" t="str">
        <f t="shared" si="11"/>
        <v>D2      CAPO TECNICO ……....……....…..….…….….……………………….………………… Capo Tecnico Officine Nazionali Infrastrutt. (par. 156-167)</v>
      </c>
      <c r="K117" s="197"/>
      <c r="L117" s="197"/>
      <c r="M117" s="197"/>
      <c r="N117" s="197"/>
      <c r="O117" s="197"/>
      <c r="P117" s="147">
        <v>30</v>
      </c>
      <c r="Q117" s="147">
        <v>65</v>
      </c>
      <c r="R117" s="160"/>
      <c r="S117" s="147">
        <v>30</v>
      </c>
      <c r="T117" s="147">
        <v>65</v>
      </c>
      <c r="U117" s="147"/>
    </row>
    <row r="118" spans="1:21" ht="18" customHeight="1" hidden="1" thickBot="1">
      <c r="A118" s="148" t="str">
        <f t="shared" si="10"/>
        <v>D2-CAPO TRENO/CAPO SERVIZI TRENO-Capo Treno/Capo Servizi Treno (par. 156)</v>
      </c>
      <c r="B118" s="147">
        <v>84</v>
      </c>
      <c r="C118" s="213" t="s">
        <v>397</v>
      </c>
      <c r="D118" s="204" t="s">
        <v>437</v>
      </c>
      <c r="E118" s="205" t="s">
        <v>207</v>
      </c>
      <c r="F118" s="206">
        <v>92.45</v>
      </c>
      <c r="G118" s="207">
        <v>74.8346046780666</v>
      </c>
      <c r="H118" s="206">
        <v>142.54</v>
      </c>
      <c r="I118" s="220"/>
      <c r="J118" s="196" t="str">
        <f>CONCATENATE(C118,"      ",D118," ………...…………….………………… ",E118)</f>
        <v>D2      CAPO TRENO/CAPO SERVIZI TRENO ………...…………….………………… Capo Treno/Capo Servizi Treno (par. 156)</v>
      </c>
      <c r="K118" s="197"/>
      <c r="L118" s="197"/>
      <c r="M118" s="197"/>
      <c r="N118" s="197"/>
      <c r="O118" s="197"/>
      <c r="P118" s="147">
        <v>25</v>
      </c>
      <c r="Q118" s="147">
        <v>58</v>
      </c>
      <c r="R118" s="160"/>
      <c r="S118" s="147">
        <v>25</v>
      </c>
      <c r="T118" s="147">
        <v>58</v>
      </c>
      <c r="U118" s="147"/>
    </row>
    <row r="119" spans="1:21" ht="18" customHeight="1" hidden="1" thickBot="1">
      <c r="A119" s="148" t="str">
        <f t="shared" si="10"/>
        <v>D2-CAPO TRENO/CAPO SERVIZI TRENO-Capo Treno/Capo Servizi Treno (par. 167)</v>
      </c>
      <c r="B119" s="174">
        <v>85</v>
      </c>
      <c r="C119" s="213" t="s">
        <v>397</v>
      </c>
      <c r="D119" s="204" t="s">
        <v>437</v>
      </c>
      <c r="E119" s="205" t="s">
        <v>208</v>
      </c>
      <c r="F119" s="206">
        <v>92.45</v>
      </c>
      <c r="G119" s="207">
        <v>74.8346046780666</v>
      </c>
      <c r="H119" s="206">
        <v>142.54</v>
      </c>
      <c r="I119" s="220">
        <v>35.69</v>
      </c>
      <c r="J119" s="196" t="str">
        <f>CONCATENATE(C119,"      ",D119," ………...…………….………………… ",E119)</f>
        <v>D2      CAPO TRENO/CAPO SERVIZI TRENO ………...…………….………………… Capo Treno/Capo Servizi Treno (par. 167)</v>
      </c>
      <c r="K119" s="197"/>
      <c r="L119" s="197"/>
      <c r="M119" s="197"/>
      <c r="N119" s="197"/>
      <c r="O119" s="197"/>
      <c r="P119" s="147">
        <v>25</v>
      </c>
      <c r="Q119" s="147">
        <v>58</v>
      </c>
      <c r="R119" s="160"/>
      <c r="S119" s="147">
        <v>25</v>
      </c>
      <c r="T119" s="147">
        <v>58</v>
      </c>
      <c r="U119" s="147"/>
    </row>
    <row r="120" spans="1:21" ht="18" customHeight="1" hidden="1" thickBot="1">
      <c r="A120" s="148" t="str">
        <f t="shared" si="10"/>
        <v>D2-COADIUTORE MEDICO-Paramedico (par. 156)</v>
      </c>
      <c r="B120" s="147">
        <v>86</v>
      </c>
      <c r="C120" s="213" t="s">
        <v>397</v>
      </c>
      <c r="D120" s="204" t="s">
        <v>438</v>
      </c>
      <c r="E120" s="205" t="s">
        <v>209</v>
      </c>
      <c r="F120" s="206">
        <v>56.29</v>
      </c>
      <c r="G120" s="207">
        <v>53.14341491630816</v>
      </c>
      <c r="H120" s="206">
        <v>104.02</v>
      </c>
      <c r="I120" s="220"/>
      <c r="J120" s="196" t="str">
        <f>CONCATENATE(C120,"      ",D120," ……..….….…….….……………………….………………… ",E120)</f>
        <v>D2      COADIUTORE MEDICO ……..….….…….….……………………….………………… Paramedico (par. 156)</v>
      </c>
      <c r="K120" s="197"/>
      <c r="L120" s="197"/>
      <c r="M120" s="197"/>
      <c r="N120" s="197"/>
      <c r="O120" s="197"/>
      <c r="P120" s="147">
        <v>30</v>
      </c>
      <c r="Q120" s="147">
        <v>65</v>
      </c>
      <c r="R120" s="160"/>
      <c r="S120" s="147">
        <v>30</v>
      </c>
      <c r="T120" s="147">
        <v>65</v>
      </c>
      <c r="U120" s="147"/>
    </row>
    <row r="121" spans="1:21" ht="18" customHeight="1" hidden="1" thickBot="1">
      <c r="A121" s="148" t="str">
        <f t="shared" si="10"/>
        <v>D2-COADIUTORE MEDICO-Paramedico (par. 167)</v>
      </c>
      <c r="B121" s="174">
        <v>87</v>
      </c>
      <c r="C121" s="213" t="s">
        <v>397</v>
      </c>
      <c r="D121" s="204" t="s">
        <v>438</v>
      </c>
      <c r="E121" s="205" t="s">
        <v>210</v>
      </c>
      <c r="F121" s="206">
        <v>56.29</v>
      </c>
      <c r="G121" s="207">
        <v>53.14341491630816</v>
      </c>
      <c r="H121" s="206">
        <v>104.02</v>
      </c>
      <c r="I121" s="220">
        <v>35.69</v>
      </c>
      <c r="J121" s="196" t="str">
        <f>CONCATENATE(C121,"      ",D121," ……..….….…….….……………………….………………… ",E121)</f>
        <v>D2      COADIUTORE MEDICO ……..….….…….….……………………….………………… Paramedico (par. 167)</v>
      </c>
      <c r="K121" s="197"/>
      <c r="L121" s="197"/>
      <c r="M121" s="197"/>
      <c r="N121" s="197"/>
      <c r="O121" s="197"/>
      <c r="P121" s="147">
        <v>30</v>
      </c>
      <c r="Q121" s="147">
        <v>65</v>
      </c>
      <c r="R121" s="160"/>
      <c r="S121" s="147">
        <v>30</v>
      </c>
      <c r="T121" s="147">
        <v>65</v>
      </c>
      <c r="U121" s="147"/>
    </row>
    <row r="122" spans="1:21" ht="18" customHeight="1" hidden="1" thickBot="1">
      <c r="A122" s="148" t="str">
        <f t="shared" si="10"/>
        <v>D2-MACCHINISTA-Macchinista (par. 156)</v>
      </c>
      <c r="B122" s="147">
        <v>88</v>
      </c>
      <c r="C122" s="213" t="s">
        <v>397</v>
      </c>
      <c r="D122" s="204" t="s">
        <v>439</v>
      </c>
      <c r="E122" s="205" t="s">
        <v>211</v>
      </c>
      <c r="F122" s="206">
        <v>144.09</v>
      </c>
      <c r="G122" s="207">
        <v>188.2831423303568</v>
      </c>
      <c r="H122" s="206">
        <v>208.96</v>
      </c>
      <c r="I122" s="220"/>
      <c r="J122" s="196" t="str">
        <f>CONCATENATE(C122,"      ",D122," ……..…..……....…..….…….….……………………….………………… ",E122)</f>
        <v>D2      MACCHINISTA ……..…..……....…..….…….….……………………….………………… Macchinista (par. 156)</v>
      </c>
      <c r="K122" s="197"/>
      <c r="L122" s="197"/>
      <c r="M122" s="197"/>
      <c r="N122" s="197"/>
      <c r="O122" s="197"/>
      <c r="P122" s="147">
        <v>25</v>
      </c>
      <c r="Q122" s="147">
        <v>58</v>
      </c>
      <c r="R122" s="160"/>
      <c r="S122" s="147">
        <v>25</v>
      </c>
      <c r="T122" s="147">
        <v>58</v>
      </c>
      <c r="U122" s="147"/>
    </row>
    <row r="123" spans="1:21" ht="18" customHeight="1" hidden="1" thickBot="1">
      <c r="A123" s="148" t="str">
        <f t="shared" si="10"/>
        <v>D2-MACCHINISTA-Macchinista (par. 167)</v>
      </c>
      <c r="B123" s="174">
        <v>89</v>
      </c>
      <c r="C123" s="213" t="s">
        <v>397</v>
      </c>
      <c r="D123" s="204" t="s">
        <v>439</v>
      </c>
      <c r="E123" s="205" t="s">
        <v>212</v>
      </c>
      <c r="F123" s="206">
        <v>144.09</v>
      </c>
      <c r="G123" s="207">
        <v>188.2831423303568</v>
      </c>
      <c r="H123" s="206">
        <v>208.96</v>
      </c>
      <c r="I123" s="220">
        <v>35.69</v>
      </c>
      <c r="J123" s="196" t="str">
        <f>CONCATENATE(C123,"      ",D123," ……..…..……....…..….…….….……………………….………………… ",E123)</f>
        <v>D2      MACCHINISTA ……..…..……....…..….…….….……………………….………………… Macchinista (par. 167)</v>
      </c>
      <c r="K123" s="197"/>
      <c r="L123" s="197"/>
      <c r="M123" s="197"/>
      <c r="N123" s="197"/>
      <c r="O123" s="197"/>
      <c r="P123" s="147">
        <v>25</v>
      </c>
      <c r="Q123" s="147">
        <v>58</v>
      </c>
      <c r="R123" s="160"/>
      <c r="S123" s="147">
        <v>25</v>
      </c>
      <c r="T123" s="147">
        <v>58</v>
      </c>
      <c r="U123" s="147"/>
    </row>
    <row r="124" spans="1:21" ht="18" customHeight="1" hidden="1" thickBot="1">
      <c r="A124" s="148" t="str">
        <f t="shared" si="10"/>
        <v>D2-NOSTROMO -Nostromo (par. 156)</v>
      </c>
      <c r="B124" s="147">
        <v>90</v>
      </c>
      <c r="C124" s="213" t="s">
        <v>397</v>
      </c>
      <c r="D124" s="204" t="s">
        <v>440</v>
      </c>
      <c r="E124" s="205" t="s">
        <v>213</v>
      </c>
      <c r="F124" s="206">
        <v>153.9</v>
      </c>
      <c r="G124" s="207">
        <v>111.70962727305593</v>
      </c>
      <c r="H124" s="206">
        <v>144.61</v>
      </c>
      <c r="I124" s="220"/>
      <c r="J124" s="196" t="str">
        <f>CONCATENATE(C124,"      ",D124," …….……....……....…..….…….….……………………….………………… ",E124)</f>
        <v>D2      NOSTROMO  …….……....……....…..….…….….……………………….………………… Nostromo (par. 156)</v>
      </c>
      <c r="K124" s="197"/>
      <c r="L124" s="197"/>
      <c r="M124" s="197"/>
      <c r="N124" s="197"/>
      <c r="O124" s="197"/>
      <c r="P124" s="147">
        <v>25</v>
      </c>
      <c r="Q124" s="147">
        <v>58</v>
      </c>
      <c r="R124" s="160"/>
      <c r="S124" s="147">
        <v>25</v>
      </c>
      <c r="T124" s="147">
        <v>58</v>
      </c>
      <c r="U124" s="147"/>
    </row>
    <row r="125" spans="1:21" ht="18" customHeight="1" hidden="1" thickBot="1">
      <c r="A125" s="148" t="str">
        <f t="shared" si="10"/>
        <v>D2-NOSTROMO -Nostromo (par. 167)</v>
      </c>
      <c r="B125" s="174">
        <v>91</v>
      </c>
      <c r="C125" s="213" t="s">
        <v>397</v>
      </c>
      <c r="D125" s="204" t="s">
        <v>440</v>
      </c>
      <c r="E125" s="205" t="s">
        <v>214</v>
      </c>
      <c r="F125" s="206">
        <v>153.9</v>
      </c>
      <c r="G125" s="207">
        <v>111.70962727305593</v>
      </c>
      <c r="H125" s="206">
        <v>144.61</v>
      </c>
      <c r="I125" s="220">
        <v>35.69</v>
      </c>
      <c r="J125" s="196" t="str">
        <f>CONCATENATE(C125,"      ",D125," …….……....……....…..….…….….……………………….………………… ",E125)</f>
        <v>D2      NOSTROMO  …….……....……....…..….…….….……………………….………………… Nostromo (par. 167)</v>
      </c>
      <c r="K125" s="197"/>
      <c r="L125" s="197"/>
      <c r="M125" s="197"/>
      <c r="N125" s="197"/>
      <c r="O125" s="197"/>
      <c r="P125" s="147">
        <v>25</v>
      </c>
      <c r="Q125" s="147">
        <v>58</v>
      </c>
      <c r="R125" s="160"/>
      <c r="S125" s="147">
        <v>25</v>
      </c>
      <c r="T125" s="147">
        <v>58</v>
      </c>
      <c r="U125" s="147"/>
    </row>
    <row r="126" spans="1:21" ht="18" customHeight="1" hidden="1" thickBot="1">
      <c r="A126" s="148" t="str">
        <f t="shared" si="10"/>
        <v>D2-SPECIALISTA TECNICO/AMMINISTRATIVO-Segretario (par. 156)</v>
      </c>
      <c r="B126" s="147">
        <v>92</v>
      </c>
      <c r="C126" s="213" t="s">
        <v>397</v>
      </c>
      <c r="D126" s="204" t="s">
        <v>441</v>
      </c>
      <c r="E126" s="205" t="s">
        <v>215</v>
      </c>
      <c r="F126" s="206">
        <v>54.23</v>
      </c>
      <c r="G126" s="207">
        <v>51.90391835849339</v>
      </c>
      <c r="H126" s="206">
        <v>104.02</v>
      </c>
      <c r="I126" s="220"/>
      <c r="J126" s="196" t="str">
        <f aca="true" t="shared" si="12" ref="J126:J131">CONCATENATE(C126,"      ",D126," ….……...……………………. ",E126)</f>
        <v>D2      SPECIALISTA TECNICO/AMMINISTRATIVO ….……...……………………. Segretario (par. 156)</v>
      </c>
      <c r="K126" s="197"/>
      <c r="L126" s="197"/>
      <c r="M126" s="197"/>
      <c r="N126" s="197"/>
      <c r="O126" s="197"/>
      <c r="P126" s="147">
        <v>30</v>
      </c>
      <c r="Q126" s="147">
        <v>65</v>
      </c>
      <c r="R126" s="160"/>
      <c r="S126" s="147">
        <v>30</v>
      </c>
      <c r="T126" s="147">
        <v>65</v>
      </c>
      <c r="U126" s="147"/>
    </row>
    <row r="127" spans="1:21" ht="18" customHeight="1" hidden="1" thickBot="1">
      <c r="A127" s="148" t="str">
        <f t="shared" si="10"/>
        <v>D2-SPECIALISTA TECNICO/AMMINISTRATIVO-Segretario (par. 167)</v>
      </c>
      <c r="B127" s="174">
        <v>93</v>
      </c>
      <c r="C127" s="213" t="s">
        <v>397</v>
      </c>
      <c r="D127" s="204" t="s">
        <v>441</v>
      </c>
      <c r="E127" s="205" t="s">
        <v>216</v>
      </c>
      <c r="F127" s="206">
        <v>54.23</v>
      </c>
      <c r="G127" s="207">
        <v>51.90391835849339</v>
      </c>
      <c r="H127" s="206">
        <v>104.02</v>
      </c>
      <c r="I127" s="220">
        <v>35.69</v>
      </c>
      <c r="J127" s="196" t="str">
        <f t="shared" si="12"/>
        <v>D2      SPECIALISTA TECNICO/AMMINISTRATIVO ….……...……………………. Segretario (par. 167)</v>
      </c>
      <c r="K127" s="197"/>
      <c r="L127" s="197"/>
      <c r="M127" s="197"/>
      <c r="N127" s="197"/>
      <c r="O127" s="197"/>
      <c r="P127" s="147">
        <v>30</v>
      </c>
      <c r="Q127" s="147">
        <v>65</v>
      </c>
      <c r="R127" s="160"/>
      <c r="S127" s="147">
        <v>30</v>
      </c>
      <c r="T127" s="147">
        <v>65</v>
      </c>
      <c r="U127" s="147"/>
    </row>
    <row r="128" spans="1:21" ht="18" customHeight="1" hidden="1" thickBot="1">
      <c r="A128" s="148" t="str">
        <f t="shared" si="10"/>
        <v>D2-SPECIALISTA TECNICO/AMMINISTRATIVO-Segretario d'Informatica (par. 156)</v>
      </c>
      <c r="B128" s="147">
        <v>94</v>
      </c>
      <c r="C128" s="213" t="s">
        <v>397</v>
      </c>
      <c r="D128" s="204" t="s">
        <v>441</v>
      </c>
      <c r="E128" s="205" t="s">
        <v>217</v>
      </c>
      <c r="F128" s="206">
        <v>54.23</v>
      </c>
      <c r="G128" s="207">
        <v>51.90391835849339</v>
      </c>
      <c r="H128" s="206">
        <v>104.02</v>
      </c>
      <c r="I128" s="220"/>
      <c r="J128" s="196" t="str">
        <f t="shared" si="12"/>
        <v>D2      SPECIALISTA TECNICO/AMMINISTRATIVO ….……...……………………. Segretario d'Informatica (par. 156)</v>
      </c>
      <c r="K128" s="197"/>
      <c r="L128" s="197"/>
      <c r="M128" s="197"/>
      <c r="N128" s="197"/>
      <c r="O128" s="197"/>
      <c r="P128" s="147">
        <v>30</v>
      </c>
      <c r="Q128" s="147">
        <v>65</v>
      </c>
      <c r="R128" s="160"/>
      <c r="S128" s="147">
        <v>30</v>
      </c>
      <c r="T128" s="147">
        <v>65</v>
      </c>
      <c r="U128" s="147"/>
    </row>
    <row r="129" spans="1:21" ht="18" customHeight="1" hidden="1" thickBot="1">
      <c r="A129" s="148" t="str">
        <f t="shared" si="10"/>
        <v>D2-SPECIALISTA TECNICO/AMMINISTRATIVO-Segretario d'Informatica (par. 167)</v>
      </c>
      <c r="B129" s="174">
        <v>95</v>
      </c>
      <c r="C129" s="213" t="s">
        <v>397</v>
      </c>
      <c r="D129" s="204" t="s">
        <v>441</v>
      </c>
      <c r="E129" s="205" t="s">
        <v>218</v>
      </c>
      <c r="F129" s="206">
        <v>54.23</v>
      </c>
      <c r="G129" s="207">
        <v>51.90391835849339</v>
      </c>
      <c r="H129" s="206">
        <v>104.02</v>
      </c>
      <c r="I129" s="220">
        <v>35.69</v>
      </c>
      <c r="J129" s="196" t="str">
        <f t="shared" si="12"/>
        <v>D2      SPECIALISTA TECNICO/AMMINISTRATIVO ….……...……………………. Segretario d'Informatica (par. 167)</v>
      </c>
      <c r="K129" s="197"/>
      <c r="L129" s="197"/>
      <c r="M129" s="197"/>
      <c r="N129" s="197"/>
      <c r="O129" s="197"/>
      <c r="P129" s="147">
        <v>30</v>
      </c>
      <c r="Q129" s="147">
        <v>65</v>
      </c>
      <c r="R129" s="160"/>
      <c r="S129" s="147">
        <v>30</v>
      </c>
      <c r="T129" s="147">
        <v>65</v>
      </c>
      <c r="U129" s="147"/>
    </row>
    <row r="130" spans="1:21" ht="18" customHeight="1" hidden="1" thickBot="1">
      <c r="A130" s="148" t="str">
        <f t="shared" si="10"/>
        <v>D2-SPECIALISTA TECNICO/AMMINISTRATIVO-Segretario Tecnico (par. 156)</v>
      </c>
      <c r="B130" s="147">
        <v>96</v>
      </c>
      <c r="C130" s="213" t="s">
        <v>397</v>
      </c>
      <c r="D130" s="204" t="s">
        <v>441</v>
      </c>
      <c r="E130" s="205" t="s">
        <v>219</v>
      </c>
      <c r="F130" s="206">
        <v>54.23</v>
      </c>
      <c r="G130" s="207">
        <v>51.90391835849339</v>
      </c>
      <c r="H130" s="206">
        <v>104.02</v>
      </c>
      <c r="I130" s="220"/>
      <c r="J130" s="196" t="str">
        <f t="shared" si="12"/>
        <v>D2      SPECIALISTA TECNICO/AMMINISTRATIVO ….……...……………………. Segretario Tecnico (par. 156)</v>
      </c>
      <c r="K130" s="197"/>
      <c r="L130" s="197"/>
      <c r="M130" s="197"/>
      <c r="N130" s="197"/>
      <c r="O130" s="197"/>
      <c r="P130" s="147">
        <v>30</v>
      </c>
      <c r="Q130" s="147">
        <v>65</v>
      </c>
      <c r="R130" s="160"/>
      <c r="S130" s="147">
        <v>30</v>
      </c>
      <c r="T130" s="147">
        <v>65</v>
      </c>
      <c r="U130" s="147"/>
    </row>
    <row r="131" spans="1:21" ht="18" customHeight="1" hidden="1" thickBot="1">
      <c r="A131" s="148" t="str">
        <f t="shared" si="10"/>
        <v>D2-SPECIALISTA TECNICO/AMMINISTRATIVO-Segretario Tecnico (par. 167)</v>
      </c>
      <c r="B131" s="174">
        <v>97</v>
      </c>
      <c r="C131" s="213" t="s">
        <v>397</v>
      </c>
      <c r="D131" s="204" t="s">
        <v>441</v>
      </c>
      <c r="E131" s="205" t="s">
        <v>220</v>
      </c>
      <c r="F131" s="206">
        <v>54.23</v>
      </c>
      <c r="G131" s="207">
        <v>51.90391835849339</v>
      </c>
      <c r="H131" s="206">
        <v>104.02</v>
      </c>
      <c r="I131" s="220">
        <v>35.69</v>
      </c>
      <c r="J131" s="196" t="str">
        <f t="shared" si="12"/>
        <v>D2      SPECIALISTA TECNICO/AMMINISTRATIVO ….……...……………………. Segretario Tecnico (par. 167)</v>
      </c>
      <c r="K131" s="197"/>
      <c r="L131" s="197"/>
      <c r="M131" s="197"/>
      <c r="N131" s="197"/>
      <c r="O131" s="197"/>
      <c r="P131" s="147">
        <v>30</v>
      </c>
      <c r="Q131" s="147">
        <v>65</v>
      </c>
      <c r="R131" s="160"/>
      <c r="S131" s="147">
        <v>30</v>
      </c>
      <c r="T131" s="147">
        <v>65</v>
      </c>
      <c r="U131" s="147"/>
    </row>
    <row r="132" spans="1:21" ht="18" customHeight="1" hidden="1" thickBot="1">
      <c r="A132" s="148" t="str">
        <f t="shared" si="10"/>
        <v>D2-SPECIALISTA TECNICO/AMMINISTRATIVO-Ex profilo non previsto</v>
      </c>
      <c r="B132" s="147">
        <v>98</v>
      </c>
      <c r="C132" s="213" t="s">
        <v>397</v>
      </c>
      <c r="D132" s="204" t="s">
        <v>441</v>
      </c>
      <c r="E132" s="200" t="s">
        <v>374</v>
      </c>
      <c r="F132" s="206">
        <v>54.23</v>
      </c>
      <c r="G132" s="207">
        <v>51.90391835849339</v>
      </c>
      <c r="H132" s="206">
        <v>104.02</v>
      </c>
      <c r="I132" s="220">
        <v>35.69</v>
      </c>
      <c r="J132" s="196" t="str">
        <f>CONCATENATE(C132,"      ",D132,"                                        ",E132)</f>
        <v>D2      SPECIALISTA TECNICO/AMMINISTRATIVO                                        Ex profilo non previsto</v>
      </c>
      <c r="K132" s="197"/>
      <c r="L132" s="197"/>
      <c r="M132" s="197"/>
      <c r="N132" s="197"/>
      <c r="O132" s="197"/>
      <c r="P132" s="147">
        <v>30</v>
      </c>
      <c r="Q132" s="147">
        <v>65</v>
      </c>
      <c r="R132" s="160"/>
      <c r="S132" s="147">
        <v>30</v>
      </c>
      <c r="T132" s="147">
        <v>65</v>
      </c>
      <c r="U132" s="147"/>
    </row>
    <row r="133" spans="1:21" ht="18" customHeight="1" hidden="1" thickBot="1">
      <c r="A133" s="148" t="str">
        <f t="shared" si="10"/>
        <v>D2- SPECIALISTA TECNICO COMMERCIALE-Capo Gestione (par. 156)</v>
      </c>
      <c r="B133" s="174">
        <v>99</v>
      </c>
      <c r="C133" s="213" t="s">
        <v>397</v>
      </c>
      <c r="D133" s="204" t="s">
        <v>442</v>
      </c>
      <c r="E133" s="205" t="s">
        <v>221</v>
      </c>
      <c r="F133" s="206">
        <v>58.88</v>
      </c>
      <c r="G133" s="207">
        <v>54.69278561357662</v>
      </c>
      <c r="H133" s="206">
        <v>137.22</v>
      </c>
      <c r="I133" s="220"/>
      <c r="J133" s="196" t="str">
        <f>CONCATENATE(C133,"      ",D133," ….…..........….…………………. ",E133)</f>
        <v>D2       SPECIALISTA TECNICO COMMERCIALE ….…..........….…………………. Capo Gestione (par. 156)</v>
      </c>
      <c r="K133" s="197"/>
      <c r="L133" s="197"/>
      <c r="M133" s="197"/>
      <c r="N133" s="197"/>
      <c r="O133" s="197"/>
      <c r="P133" s="147">
        <v>30</v>
      </c>
      <c r="Q133" s="147">
        <v>65</v>
      </c>
      <c r="R133" s="160"/>
      <c r="S133" s="147">
        <v>30</v>
      </c>
      <c r="T133" s="147">
        <v>65</v>
      </c>
      <c r="U133" s="147"/>
    </row>
    <row r="134" spans="1:21" ht="18" customHeight="1" hidden="1" thickBot="1">
      <c r="A134" s="148" t="str">
        <f t="shared" si="10"/>
        <v>D2- SPECIALISTA TECNICO COMMERCIALE-Capo Gestione (par. 167)</v>
      </c>
      <c r="B134" s="147">
        <v>100</v>
      </c>
      <c r="C134" s="213" t="s">
        <v>397</v>
      </c>
      <c r="D134" s="204" t="s">
        <v>442</v>
      </c>
      <c r="E134" s="205" t="s">
        <v>222</v>
      </c>
      <c r="F134" s="206">
        <v>58.88</v>
      </c>
      <c r="G134" s="207">
        <v>54.69278561357662</v>
      </c>
      <c r="H134" s="206">
        <v>137.22</v>
      </c>
      <c r="I134" s="220">
        <v>35.69</v>
      </c>
      <c r="J134" s="196" t="str">
        <f>CONCATENATE(C134,"      ",D134," ….…..........….…………………. ",E134)</f>
        <v>D2       SPECIALISTA TECNICO COMMERCIALE ….…..........….…………………. Capo Gestione (par. 167)</v>
      </c>
      <c r="K134" s="197"/>
      <c r="L134" s="197"/>
      <c r="M134" s="197"/>
      <c r="N134" s="197"/>
      <c r="O134" s="197"/>
      <c r="P134" s="147">
        <v>30</v>
      </c>
      <c r="Q134" s="147">
        <v>65</v>
      </c>
      <c r="R134" s="160"/>
      <c r="S134" s="147">
        <v>30</v>
      </c>
      <c r="T134" s="147">
        <v>65</v>
      </c>
      <c r="U134" s="147"/>
    </row>
    <row r="135" spans="1:21" ht="18" customHeight="1" hidden="1" thickBot="1">
      <c r="A135" s="148" t="str">
        <f t="shared" si="10"/>
        <v>D2- SPECIALISTA TECNICO COMMERCIALE-Ex profilo non previsto</v>
      </c>
      <c r="B135" s="174">
        <v>101</v>
      </c>
      <c r="C135" s="213" t="s">
        <v>397</v>
      </c>
      <c r="D135" s="204" t="s">
        <v>442</v>
      </c>
      <c r="E135" s="200" t="s">
        <v>374</v>
      </c>
      <c r="F135" s="206">
        <v>58.88</v>
      </c>
      <c r="G135" s="207">
        <v>54.69278561357662</v>
      </c>
      <c r="H135" s="206">
        <v>137.22</v>
      </c>
      <c r="I135" s="220">
        <v>35.69</v>
      </c>
      <c r="J135" s="196" t="str">
        <f>CONCATENATE(C135,"      ",D135,"                                         ",E135)</f>
        <v>D2       SPECIALISTA TECNICO COMMERCIALE                                         Ex profilo non previsto</v>
      </c>
      <c r="K135" s="197"/>
      <c r="L135" s="197"/>
      <c r="M135" s="197"/>
      <c r="N135" s="197"/>
      <c r="O135" s="197"/>
      <c r="P135" s="147">
        <v>30</v>
      </c>
      <c r="Q135" s="147">
        <v>65</v>
      </c>
      <c r="R135" s="160"/>
      <c r="S135" s="147">
        <v>30</v>
      </c>
      <c r="T135" s="147">
        <v>65</v>
      </c>
      <c r="U135" s="147"/>
    </row>
    <row r="136" spans="1:21" ht="18" customHeight="1" hidden="1" thickBot="1">
      <c r="A136" s="148" t="str">
        <f t="shared" si="10"/>
        <v>D2-TECNICO SANITARIO-Tecnico Sanitario (par. 156)</v>
      </c>
      <c r="B136" s="147">
        <v>102</v>
      </c>
      <c r="C136" s="213" t="s">
        <v>397</v>
      </c>
      <c r="D136" s="209" t="s">
        <v>443</v>
      </c>
      <c r="E136" s="205" t="s">
        <v>223</v>
      </c>
      <c r="F136" s="206">
        <v>65.59</v>
      </c>
      <c r="G136" s="207">
        <v>58.72114942647461</v>
      </c>
      <c r="H136" s="206">
        <v>104.02</v>
      </c>
      <c r="I136" s="220"/>
      <c r="J136" s="196" t="str">
        <f>CONCATENATE(C136,"      ",D136," ….……..……....…..….……………...………………………… ",E136)</f>
        <v>D2      TECNICO SANITARIO ….……..……....…..….……………...………………………… Tecnico Sanitario (par. 156)</v>
      </c>
      <c r="K136" s="197"/>
      <c r="L136" s="197"/>
      <c r="M136" s="197"/>
      <c r="N136" s="197"/>
      <c r="O136" s="197"/>
      <c r="P136" s="147">
        <v>30</v>
      </c>
      <c r="Q136" s="147">
        <v>65</v>
      </c>
      <c r="R136" s="160"/>
      <c r="S136" s="147">
        <v>30</v>
      </c>
      <c r="T136" s="147">
        <v>65</v>
      </c>
      <c r="U136" s="147"/>
    </row>
    <row r="137" spans="1:21" ht="18" customHeight="1" hidden="1" thickBot="1">
      <c r="A137" s="148" t="str">
        <f t="shared" si="10"/>
        <v>D2-TECNICO SANITARIO-Tecnico Sanitario (par. 167)</v>
      </c>
      <c r="B137" s="174">
        <v>103</v>
      </c>
      <c r="C137" s="214" t="s">
        <v>397</v>
      </c>
      <c r="D137" s="209" t="s">
        <v>443</v>
      </c>
      <c r="E137" s="205" t="s">
        <v>224</v>
      </c>
      <c r="F137" s="210">
        <v>65.59</v>
      </c>
      <c r="G137" s="211">
        <v>58.72114942647461</v>
      </c>
      <c r="H137" s="210">
        <v>104.02</v>
      </c>
      <c r="I137" s="221">
        <v>35.69</v>
      </c>
      <c r="J137" s="196" t="str">
        <f>CONCATENATE(C137,"      ",D137," ….……..……....…..….……………...………………………… ",E137)</f>
        <v>D2      TECNICO SANITARIO ….……..……....…..….……………...………………………… Tecnico Sanitario (par. 167)</v>
      </c>
      <c r="K137" s="197"/>
      <c r="L137" s="197"/>
      <c r="M137" s="197"/>
      <c r="N137" s="197"/>
      <c r="O137" s="197"/>
      <c r="P137" s="147">
        <v>30</v>
      </c>
      <c r="Q137" s="147">
        <v>65</v>
      </c>
      <c r="R137" s="160"/>
      <c r="S137" s="147">
        <v>30</v>
      </c>
      <c r="T137" s="147">
        <v>65</v>
      </c>
      <c r="U137" s="147"/>
    </row>
    <row r="138" spans="1:21" ht="18" customHeight="1" hidden="1" thickBot="1">
      <c r="A138" s="148" t="str">
        <f t="shared" si="10"/>
        <v>E-CARPENTIERE-Carpentiere</v>
      </c>
      <c r="B138" s="147">
        <v>104</v>
      </c>
      <c r="C138" s="212" t="s">
        <v>398</v>
      </c>
      <c r="D138" s="199" t="s">
        <v>448</v>
      </c>
      <c r="E138" s="205" t="s">
        <v>150</v>
      </c>
      <c r="F138" s="201">
        <v>167.85</v>
      </c>
      <c r="G138" s="202">
        <v>120.07622903830561</v>
      </c>
      <c r="H138" s="201">
        <v>139.44</v>
      </c>
      <c r="I138" s="219">
        <v>83.63898492978751</v>
      </c>
      <c r="J138" s="196" t="str">
        <f>CONCATENATE(C138,"      ",D138,"………………………………………………….…...………………………….. ",E138)</f>
        <v>E      CARPENTIERE………………………………………………….…...………………………….. Carpentiere</v>
      </c>
      <c r="K138" s="197"/>
      <c r="L138" s="197"/>
      <c r="M138" s="197"/>
      <c r="N138" s="197"/>
      <c r="O138" s="197"/>
      <c r="P138" s="147">
        <v>25</v>
      </c>
      <c r="Q138" s="147">
        <v>58</v>
      </c>
      <c r="R138" s="160"/>
      <c r="S138" s="147">
        <v>25</v>
      </c>
      <c r="T138" s="147">
        <v>58</v>
      </c>
      <c r="U138" s="147"/>
    </row>
    <row r="139" spans="1:21" ht="18" customHeight="1" hidden="1" thickBot="1">
      <c r="A139" s="148" t="str">
        <f t="shared" si="10"/>
        <v>E-ELETTRICISTA-Elettricista</v>
      </c>
      <c r="B139" s="174">
        <v>105</v>
      </c>
      <c r="C139" s="213" t="s">
        <v>398</v>
      </c>
      <c r="D139" s="204" t="s">
        <v>449</v>
      </c>
      <c r="E139" s="205" t="s">
        <v>225</v>
      </c>
      <c r="F139" s="206">
        <v>152.35</v>
      </c>
      <c r="G139" s="207">
        <v>110.78000485469485</v>
      </c>
      <c r="H139" s="206">
        <v>139.44</v>
      </c>
      <c r="I139" s="220">
        <v>83.63898492978751</v>
      </c>
      <c r="J139" s="196" t="str">
        <f>CONCATENATE(C139,"      ",D139,"………………………………………………….…...………………………….. ",E139)</f>
        <v>E      ELETTRICISTA………………………………………………….…...………………………….. Elettricista</v>
      </c>
      <c r="K139" s="197"/>
      <c r="L139" s="197"/>
      <c r="M139" s="197"/>
      <c r="N139" s="197"/>
      <c r="O139" s="197"/>
      <c r="P139" s="147">
        <v>25</v>
      </c>
      <c r="Q139" s="147">
        <v>58</v>
      </c>
      <c r="R139" s="160"/>
      <c r="S139" s="147">
        <v>25</v>
      </c>
      <c r="T139" s="147">
        <v>58</v>
      </c>
      <c r="U139" s="147"/>
    </row>
    <row r="140" spans="1:21" ht="18" customHeight="1" hidden="1" thickBot="1">
      <c r="A140" s="148" t="str">
        <f t="shared" si="10"/>
        <v>E-MOTORISTA-Motorista</v>
      </c>
      <c r="B140" s="147">
        <v>106</v>
      </c>
      <c r="C140" s="213" t="s">
        <v>398</v>
      </c>
      <c r="D140" s="204" t="s">
        <v>450</v>
      </c>
      <c r="E140" s="205" t="s">
        <v>316</v>
      </c>
      <c r="F140" s="206">
        <v>152.35</v>
      </c>
      <c r="G140" s="207">
        <v>110.78000485469485</v>
      </c>
      <c r="H140" s="206">
        <v>139.44</v>
      </c>
      <c r="I140" s="220">
        <v>83.63898492978751</v>
      </c>
      <c r="J140" s="196" t="str">
        <f>CONCATENATE(C140,"      ",D140," …………....……....…..….…….….…………….…………….………………… ",E140)</f>
        <v>E      MOTORISTA …………....……....…..….…….….…………….…………….………………… Motorista</v>
      </c>
      <c r="K140" s="197"/>
      <c r="L140" s="197"/>
      <c r="M140" s="197"/>
      <c r="N140" s="197"/>
      <c r="O140" s="197"/>
      <c r="P140" s="147">
        <v>25</v>
      </c>
      <c r="Q140" s="147">
        <v>58</v>
      </c>
      <c r="R140" s="160"/>
      <c r="S140" s="147">
        <v>25</v>
      </c>
      <c r="T140" s="147">
        <v>58</v>
      </c>
      <c r="U140" s="147"/>
    </row>
    <row r="141" spans="1:21" ht="18" customHeight="1" hidden="1" thickBot="1">
      <c r="A141" s="148" t="str">
        <f t="shared" si="10"/>
        <v>E-OPERAIO DI COPERTA-Operaio di Coperta</v>
      </c>
      <c r="B141" s="174">
        <v>107</v>
      </c>
      <c r="C141" s="213" t="s">
        <v>398</v>
      </c>
      <c r="D141" s="204" t="s">
        <v>451</v>
      </c>
      <c r="E141" s="205" t="s">
        <v>226</v>
      </c>
      <c r="F141" s="206">
        <v>147.71</v>
      </c>
      <c r="G141" s="207">
        <v>107.99113759961162</v>
      </c>
      <c r="H141" s="206">
        <v>129.11</v>
      </c>
      <c r="I141" s="220">
        <v>83.63898492978751</v>
      </c>
      <c r="J141" s="196" t="str">
        <f>CONCATENATE(C141,"      ",D141,"………………..….…….………………………………………….. ",E141)</f>
        <v>E      OPERAIO DI COPERTA………………..….…….………………………………………….. Operaio di Coperta</v>
      </c>
      <c r="K141" s="197"/>
      <c r="L141" s="197"/>
      <c r="M141" s="197"/>
      <c r="N141" s="197"/>
      <c r="O141" s="197"/>
      <c r="P141" s="147">
        <v>25</v>
      </c>
      <c r="Q141" s="147">
        <v>58</v>
      </c>
      <c r="R141" s="160"/>
      <c r="S141" s="147">
        <v>25</v>
      </c>
      <c r="T141" s="147">
        <v>58</v>
      </c>
      <c r="U141" s="147"/>
    </row>
    <row r="142" spans="1:21" ht="18" customHeight="1" hidden="1" thickBot="1">
      <c r="A142" s="148" t="str">
        <f t="shared" si="10"/>
        <v>E-TECNICO CIRCOLAZIONE-1° Tecnico della Manovra</v>
      </c>
      <c r="B142" s="147">
        <v>108</v>
      </c>
      <c r="C142" s="213" t="s">
        <v>398</v>
      </c>
      <c r="D142" s="204" t="s">
        <v>452</v>
      </c>
      <c r="E142" s="205" t="s">
        <v>227</v>
      </c>
      <c r="F142" s="206">
        <v>74.37</v>
      </c>
      <c r="G142" s="207">
        <v>63.98900979718738</v>
      </c>
      <c r="H142" s="206">
        <v>131.49</v>
      </c>
      <c r="I142" s="220">
        <v>83.63898492978751</v>
      </c>
      <c r="J142" s="196" t="str">
        <f>CONCATENATE(C142,"      ",D142," ……....…..…...…….….…………..…….………………… ",E142)</f>
        <v>E      TECNICO CIRCOLAZIONE ……....…..…...…….….…………..…….………………… 1° Tecnico della Manovra</v>
      </c>
      <c r="K142" s="197"/>
      <c r="L142" s="197"/>
      <c r="M142" s="197"/>
      <c r="N142" s="197"/>
      <c r="O142" s="197"/>
      <c r="P142" s="147">
        <v>25</v>
      </c>
      <c r="Q142" s="147">
        <v>58</v>
      </c>
      <c r="R142" s="160"/>
      <c r="S142" s="147">
        <v>25</v>
      </c>
      <c r="T142" s="147">
        <v>58</v>
      </c>
      <c r="U142" s="147"/>
    </row>
    <row r="143" spans="1:21" ht="18" customHeight="1" hidden="1" thickBot="1">
      <c r="A143" s="148" t="str">
        <f t="shared" si="10"/>
        <v>E-TECNICO CIRCOLAZIONE-1° Tecnico Deviatore</v>
      </c>
      <c r="B143" s="174">
        <v>109</v>
      </c>
      <c r="C143" s="213" t="s">
        <v>398</v>
      </c>
      <c r="D143" s="204" t="s">
        <v>452</v>
      </c>
      <c r="E143" s="205" t="s">
        <v>228</v>
      </c>
      <c r="F143" s="206">
        <v>67.14</v>
      </c>
      <c r="G143" s="207">
        <v>59.65077184483569</v>
      </c>
      <c r="H143" s="206">
        <v>123.07</v>
      </c>
      <c r="I143" s="220">
        <v>83.63898492978751</v>
      </c>
      <c r="J143" s="196" t="str">
        <f>CONCATENATE(C143,"      ",D143," ……....…..…...…….….…………..…….………………… ",E143)</f>
        <v>E      TECNICO CIRCOLAZIONE ……....…..…...…….….…………..…….………………… 1° Tecnico Deviatore</v>
      </c>
      <c r="K143" s="197"/>
      <c r="L143" s="197"/>
      <c r="M143" s="197"/>
      <c r="N143" s="197"/>
      <c r="O143" s="197"/>
      <c r="P143" s="147">
        <v>25</v>
      </c>
      <c r="Q143" s="147">
        <v>65</v>
      </c>
      <c r="R143" s="160"/>
      <c r="S143" s="147">
        <v>25</v>
      </c>
      <c r="T143" s="147">
        <v>65</v>
      </c>
      <c r="U143" s="147"/>
    </row>
    <row r="144" spans="1:21" ht="18" customHeight="1" hidden="1" thickBot="1">
      <c r="A144" s="148" t="str">
        <f t="shared" si="10"/>
        <v>E-TECNICO CIRCOLAZIONE-1° Tecnico di Stazione</v>
      </c>
      <c r="B144" s="147">
        <v>110</v>
      </c>
      <c r="C144" s="213" t="s">
        <v>398</v>
      </c>
      <c r="D144" s="204" t="s">
        <v>452</v>
      </c>
      <c r="E144" s="205" t="s">
        <v>229</v>
      </c>
      <c r="F144" s="206">
        <v>72.3</v>
      </c>
      <c r="G144" s="207">
        <v>62.74951323937261</v>
      </c>
      <c r="H144" s="206">
        <v>123.07</v>
      </c>
      <c r="I144" s="220">
        <v>83.63898492978751</v>
      </c>
      <c r="J144" s="196" t="str">
        <f>CONCATENATE(C144,"      ",D144," ……....…..…...…….….…………..…….………………… ",E144)</f>
        <v>E      TECNICO CIRCOLAZIONE ……....…..…...…….….…………..…….………………… 1° Tecnico di Stazione</v>
      </c>
      <c r="K144" s="197"/>
      <c r="L144" s="197"/>
      <c r="M144" s="197"/>
      <c r="N144" s="197"/>
      <c r="O144" s="197"/>
      <c r="P144" s="147">
        <v>30</v>
      </c>
      <c r="Q144" s="147">
        <v>65</v>
      </c>
      <c r="R144" s="160"/>
      <c r="S144" s="147">
        <v>30</v>
      </c>
      <c r="T144" s="147">
        <v>65</v>
      </c>
      <c r="U144" s="147"/>
    </row>
    <row r="145" spans="1:21" ht="18" customHeight="1" hidden="1" thickBot="1">
      <c r="A145" s="148" t="str">
        <f t="shared" si="10"/>
        <v>E-TECNICO CIRCOLAZIONE-Ex profilo non previsto</v>
      </c>
      <c r="B145" s="174">
        <v>111</v>
      </c>
      <c r="C145" s="213" t="s">
        <v>398</v>
      </c>
      <c r="D145" s="204" t="s">
        <v>452</v>
      </c>
      <c r="E145" s="200" t="s">
        <v>374</v>
      </c>
      <c r="F145" s="206">
        <v>72.3</v>
      </c>
      <c r="G145" s="207">
        <v>62.74951323937261</v>
      </c>
      <c r="H145" s="206">
        <v>123.07</v>
      </c>
      <c r="I145" s="220">
        <v>83.63898492978751</v>
      </c>
      <c r="J145" s="196" t="str">
        <f>CONCATENATE(C145,"      ",D145,"                    ",E145)</f>
        <v>E      TECNICO CIRCOLAZIONE                    Ex profilo non previsto</v>
      </c>
      <c r="K145" s="197"/>
      <c r="L145" s="197"/>
      <c r="M145" s="197"/>
      <c r="N145" s="197"/>
      <c r="O145" s="197"/>
      <c r="P145" s="147">
        <v>30</v>
      </c>
      <c r="Q145" s="147">
        <v>65</v>
      </c>
      <c r="R145" s="160"/>
      <c r="S145" s="147">
        <v>30</v>
      </c>
      <c r="T145" s="147">
        <v>65</v>
      </c>
      <c r="U145" s="147"/>
    </row>
    <row r="146" spans="1:21" ht="18" customHeight="1" hidden="1" thickBot="1">
      <c r="A146" s="148" t="str">
        <f t="shared" si="10"/>
        <v>E-TECNICO COMMERCIALE-Ex profilo non previsto</v>
      </c>
      <c r="B146" s="147">
        <v>112</v>
      </c>
      <c r="C146" s="213" t="s">
        <v>398</v>
      </c>
      <c r="D146" s="204" t="s">
        <v>453</v>
      </c>
      <c r="E146" s="200" t="s">
        <v>374</v>
      </c>
      <c r="F146" s="206">
        <v>72.3</v>
      </c>
      <c r="G146" s="207">
        <v>62.74951323937261</v>
      </c>
      <c r="H146" s="206">
        <v>77.89</v>
      </c>
      <c r="I146" s="220">
        <v>83.63898492978751</v>
      </c>
      <c r="J146" s="196" t="str">
        <f>CONCATENATE(C146,"      ",D146,"                    ",E146)</f>
        <v>E      TECNICO COMMERCIALE                    Ex profilo non previsto</v>
      </c>
      <c r="K146" s="197"/>
      <c r="L146" s="197"/>
      <c r="M146" s="197"/>
      <c r="N146" s="197"/>
      <c r="O146" s="197"/>
      <c r="P146" s="147">
        <v>30</v>
      </c>
      <c r="Q146" s="147">
        <v>65</v>
      </c>
      <c r="R146" s="160"/>
      <c r="S146" s="147">
        <v>30</v>
      </c>
      <c r="T146" s="147">
        <v>65</v>
      </c>
      <c r="U146" s="147"/>
    </row>
    <row r="147" spans="1:21" ht="18" customHeight="1" hidden="1" thickBot="1">
      <c r="A147" s="148" t="str">
        <f t="shared" si="10"/>
        <v>E-TECNICO DI MANOVRA E CONDOTTA-1° Tecnico della Manovra</v>
      </c>
      <c r="B147" s="174">
        <v>113</v>
      </c>
      <c r="C147" s="213" t="s">
        <v>398</v>
      </c>
      <c r="D147" s="204" t="s">
        <v>455</v>
      </c>
      <c r="E147" s="205" t="s">
        <v>227</v>
      </c>
      <c r="F147" s="206">
        <v>74.37</v>
      </c>
      <c r="G147" s="207">
        <v>63.98900979718738</v>
      </c>
      <c r="H147" s="206">
        <v>131.49</v>
      </c>
      <c r="I147" s="220">
        <v>83.63898492978751</v>
      </c>
      <c r="J147" s="196" t="str">
        <f>CONCATENATE(C147,"      ",D147," …...….........……..….…….………… ",E147)</f>
        <v>E      TECNICO DI MANOVRA E CONDOTTA …...….........……..….…….………… 1° Tecnico della Manovra</v>
      </c>
      <c r="K147" s="197"/>
      <c r="L147" s="197"/>
      <c r="M147" s="197"/>
      <c r="N147" s="197"/>
      <c r="O147" s="197"/>
      <c r="P147" s="147">
        <v>25</v>
      </c>
      <c r="Q147" s="147">
        <v>58</v>
      </c>
      <c r="R147" s="160"/>
      <c r="S147" s="147">
        <v>25</v>
      </c>
      <c r="T147" s="147">
        <v>58</v>
      </c>
      <c r="U147" s="147"/>
    </row>
    <row r="148" spans="1:21" ht="18" customHeight="1" hidden="1" thickBot="1">
      <c r="A148" s="148" t="str">
        <f t="shared" si="10"/>
        <v>E-TECNICO DI MANOVRA E CONDOTTA-1° Tecnico di Condotta</v>
      </c>
      <c r="B148" s="147">
        <v>114</v>
      </c>
      <c r="C148" s="213" t="s">
        <v>398</v>
      </c>
      <c r="D148" s="204" t="s">
        <v>455</v>
      </c>
      <c r="E148" s="205" t="s">
        <v>230</v>
      </c>
      <c r="F148" s="206">
        <v>118.79</v>
      </c>
      <c r="G148" s="207">
        <v>173.09930949712592</v>
      </c>
      <c r="H148" s="206">
        <v>131.49</v>
      </c>
      <c r="I148" s="220">
        <v>83.63898492978751</v>
      </c>
      <c r="J148" s="196" t="str">
        <f>CONCATENATE(C148,"      ",D148," …...….........……..….…….………… ",E148)</f>
        <v>E      TECNICO DI MANOVRA E CONDOTTA …...….........……..….…….………… 1° Tecnico di Condotta</v>
      </c>
      <c r="K148" s="197"/>
      <c r="L148" s="197"/>
      <c r="M148" s="197"/>
      <c r="N148" s="197"/>
      <c r="O148" s="197"/>
      <c r="P148" s="147">
        <v>25</v>
      </c>
      <c r="Q148" s="147">
        <v>58</v>
      </c>
      <c r="R148" s="160"/>
      <c r="S148" s="147">
        <v>25</v>
      </c>
      <c r="T148" s="147">
        <v>58</v>
      </c>
      <c r="U148" s="147"/>
    </row>
    <row r="149" spans="1:21" ht="18" customHeight="1" hidden="1" thickBot="1">
      <c r="A149" s="148" t="str">
        <f t="shared" si="10"/>
        <v>E-TECNICO DI MANOVRA E CONDOTTA-Ex profilo non previsto</v>
      </c>
      <c r="B149" s="174">
        <v>115</v>
      </c>
      <c r="C149" s="213" t="s">
        <v>398</v>
      </c>
      <c r="D149" s="204" t="s">
        <v>455</v>
      </c>
      <c r="E149" s="200" t="s">
        <v>374</v>
      </c>
      <c r="F149" s="206">
        <v>74.37</v>
      </c>
      <c r="G149" s="207">
        <v>63.98900979718738</v>
      </c>
      <c r="H149" s="206">
        <v>131.49</v>
      </c>
      <c r="I149" s="220">
        <v>83.63898492978751</v>
      </c>
      <c r="J149" s="196" t="str">
        <f>CONCATENATE(C149,"      ",D149,"                    ",E149)</f>
        <v>E      TECNICO DI MANOVRA E CONDOTTA                    Ex profilo non previsto</v>
      </c>
      <c r="K149" s="197"/>
      <c r="L149" s="197"/>
      <c r="M149" s="197"/>
      <c r="N149" s="197"/>
      <c r="O149" s="197"/>
      <c r="P149" s="147">
        <v>25</v>
      </c>
      <c r="Q149" s="147">
        <v>58</v>
      </c>
      <c r="R149" s="160"/>
      <c r="S149" s="147">
        <v>25</v>
      </c>
      <c r="T149" s="147">
        <v>58</v>
      </c>
      <c r="U149" s="147"/>
    </row>
    <row r="150" spans="1:21" ht="18" customHeight="1" hidden="1" thickBot="1">
      <c r="A150" s="148" t="str">
        <f t="shared" si="10"/>
        <v>E-TECNICO DI UFFICIO-1° Tecnico degli Uffici</v>
      </c>
      <c r="B150" s="147">
        <v>116</v>
      </c>
      <c r="C150" s="213" t="s">
        <v>398</v>
      </c>
      <c r="D150" s="204" t="s">
        <v>456</v>
      </c>
      <c r="E150" s="205" t="s">
        <v>231</v>
      </c>
      <c r="F150" s="206">
        <v>56.81</v>
      </c>
      <c r="G150" s="207">
        <v>53.45328905576185</v>
      </c>
      <c r="H150" s="206">
        <v>74.79</v>
      </c>
      <c r="I150" s="220">
        <v>83.63898492978751</v>
      </c>
      <c r="J150" s="196" t="str">
        <f>CONCATENATE(C150,"      ",D150," ….………...……....…..….……………...………………………… ",E150)</f>
        <v>E      TECNICO DI UFFICIO ….………...……....…..….……………...………………………… 1° Tecnico degli Uffici</v>
      </c>
      <c r="K150" s="197"/>
      <c r="L150" s="197"/>
      <c r="M150" s="197"/>
      <c r="N150" s="197"/>
      <c r="O150" s="197"/>
      <c r="P150" s="147">
        <v>30</v>
      </c>
      <c r="Q150" s="147">
        <v>65</v>
      </c>
      <c r="R150" s="160"/>
      <c r="S150" s="147">
        <v>30</v>
      </c>
      <c r="T150" s="147">
        <v>65</v>
      </c>
      <c r="U150" s="147"/>
    </row>
    <row r="151" spans="1:21" ht="18" customHeight="1" hidden="1" thickBot="1">
      <c r="A151" s="148" t="str">
        <f t="shared" si="10"/>
        <v>E-TECNICO DI UFFICIO-Ex profilo non previsto</v>
      </c>
      <c r="B151" s="174">
        <v>117</v>
      </c>
      <c r="C151" s="213" t="s">
        <v>398</v>
      </c>
      <c r="D151" s="204" t="s">
        <v>456</v>
      </c>
      <c r="E151" s="200" t="s">
        <v>374</v>
      </c>
      <c r="F151" s="206">
        <v>56.81</v>
      </c>
      <c r="G151" s="207">
        <v>53.45328905576185</v>
      </c>
      <c r="H151" s="206">
        <v>74.79</v>
      </c>
      <c r="I151" s="220">
        <v>83.63898492978751</v>
      </c>
      <c r="J151" s="196" t="str">
        <f>CONCATENATE(C151,"      ",D151,"                    ",E151)</f>
        <v>E      TECNICO DI UFFICIO                    Ex profilo non previsto</v>
      </c>
      <c r="K151" s="197"/>
      <c r="L151" s="197"/>
      <c r="M151" s="197"/>
      <c r="N151" s="197"/>
      <c r="O151" s="197"/>
      <c r="P151" s="147">
        <v>30</v>
      </c>
      <c r="Q151" s="147">
        <v>65</v>
      </c>
      <c r="R151" s="160"/>
      <c r="S151" s="147">
        <v>30</v>
      </c>
      <c r="T151" s="147">
        <v>65</v>
      </c>
      <c r="U151" s="147"/>
    </row>
    <row r="152" spans="1:21" ht="18" customHeight="1" hidden="1" thickBot="1">
      <c r="A152" s="148" t="str">
        <f t="shared" si="10"/>
        <v>E-TECNICO DI VERIFICA-1° Tecnico della Verifica</v>
      </c>
      <c r="B152" s="147">
        <v>118</v>
      </c>
      <c r="C152" s="213" t="s">
        <v>398</v>
      </c>
      <c r="D152" s="204" t="s">
        <v>457</v>
      </c>
      <c r="E152" s="205" t="s">
        <v>232</v>
      </c>
      <c r="F152" s="206">
        <v>72.3</v>
      </c>
      <c r="G152" s="207">
        <v>62.74951323937261</v>
      </c>
      <c r="H152" s="206">
        <v>125.48</v>
      </c>
      <c r="I152" s="220">
        <v>83.63898492978751</v>
      </c>
      <c r="J152" s="196" t="str">
        <f>CONCATENATE(C152,"      ",D152," ….………...…....…..….……………...………………………… ",E152)</f>
        <v>E      TECNICO DI VERIFICA ….………...…....…..….……………...………………………… 1° Tecnico della Verifica</v>
      </c>
      <c r="K152" s="197"/>
      <c r="L152" s="197"/>
      <c r="M152" s="197"/>
      <c r="N152" s="197"/>
      <c r="O152" s="197"/>
      <c r="P152" s="147">
        <v>25</v>
      </c>
      <c r="Q152" s="147">
        <v>65</v>
      </c>
      <c r="R152" s="160"/>
      <c r="S152" s="147">
        <v>25</v>
      </c>
      <c r="T152" s="147">
        <v>65</v>
      </c>
      <c r="U152" s="147"/>
    </row>
    <row r="153" spans="1:21" ht="18" customHeight="1" hidden="1" thickBot="1">
      <c r="A153" s="148" t="str">
        <f t="shared" si="10"/>
        <v>E-TECNICO DI VERIFICA-Ex profilo non previsto</v>
      </c>
      <c r="B153" s="174">
        <v>119</v>
      </c>
      <c r="C153" s="213" t="s">
        <v>398</v>
      </c>
      <c r="D153" s="204" t="s">
        <v>457</v>
      </c>
      <c r="E153" s="200" t="s">
        <v>374</v>
      </c>
      <c r="F153" s="206">
        <v>72.3</v>
      </c>
      <c r="G153" s="207">
        <v>62.74951323937261</v>
      </c>
      <c r="H153" s="206">
        <v>125.48</v>
      </c>
      <c r="I153" s="220">
        <v>83.63898492978751</v>
      </c>
      <c r="J153" s="196" t="str">
        <f>CONCATENATE(C153,"      ",D153,"                    ",E153)</f>
        <v>E      TECNICO DI VERIFICA                    Ex profilo non previsto</v>
      </c>
      <c r="K153" s="197"/>
      <c r="L153" s="197"/>
      <c r="M153" s="197"/>
      <c r="N153" s="197"/>
      <c r="O153" s="197"/>
      <c r="P153" s="147">
        <v>30</v>
      </c>
      <c r="Q153" s="147">
        <v>65</v>
      </c>
      <c r="R153" s="160"/>
      <c r="S153" s="147">
        <v>30</v>
      </c>
      <c r="T153" s="147">
        <v>65</v>
      </c>
      <c r="U153" s="147"/>
    </row>
    <row r="154" spans="1:21" ht="18" customHeight="1" hidden="1" thickBot="1">
      <c r="A154" s="148" t="str">
        <f t="shared" si="10"/>
        <v>E-TECNICO FORMAZIONE TRENO-1° Tecnico della Manovra</v>
      </c>
      <c r="B154" s="147">
        <v>120</v>
      </c>
      <c r="C154" s="213" t="s">
        <v>398</v>
      </c>
      <c r="D154" s="204" t="s">
        <v>458</v>
      </c>
      <c r="E154" s="205" t="s">
        <v>227</v>
      </c>
      <c r="F154" s="206">
        <v>74.37</v>
      </c>
      <c r="G154" s="207">
        <v>63.98900979718738</v>
      </c>
      <c r="H154" s="206">
        <v>131.49</v>
      </c>
      <c r="I154" s="220">
        <v>83.63898492978751</v>
      </c>
      <c r="J154" s="196" t="str">
        <f>CONCATENATE(C154,"      ",D154," ….……..……………..……………….…………. ",E154)</f>
        <v>E      TECNICO FORMAZIONE TRENO ….……..……………..……………….…………. 1° Tecnico della Manovra</v>
      </c>
      <c r="K154" s="197"/>
      <c r="L154" s="197"/>
      <c r="M154" s="197"/>
      <c r="N154" s="197"/>
      <c r="O154" s="197"/>
      <c r="P154" s="147">
        <v>25</v>
      </c>
      <c r="Q154" s="147">
        <v>58</v>
      </c>
      <c r="R154" s="160"/>
      <c r="S154" s="147">
        <v>25</v>
      </c>
      <c r="T154" s="147">
        <v>58</v>
      </c>
      <c r="U154" s="147"/>
    </row>
    <row r="155" spans="1:21" ht="18" customHeight="1" hidden="1" thickBot="1">
      <c r="A155" s="148" t="str">
        <f t="shared" si="10"/>
        <v>E-TECNICO FORMAZIONE TRENO-1° Tecnico della Verifica</v>
      </c>
      <c r="B155" s="174">
        <v>121</v>
      </c>
      <c r="C155" s="213" t="s">
        <v>398</v>
      </c>
      <c r="D155" s="204" t="s">
        <v>458</v>
      </c>
      <c r="E155" s="205" t="s">
        <v>232</v>
      </c>
      <c r="F155" s="206">
        <v>72.3</v>
      </c>
      <c r="G155" s="207">
        <v>62.74951323937261</v>
      </c>
      <c r="H155" s="206">
        <v>125.48</v>
      </c>
      <c r="I155" s="220">
        <v>83.63898492978751</v>
      </c>
      <c r="J155" s="196" t="str">
        <f>CONCATENATE(C155,"      ",D155," ….……..……………..……………….…………. ",E155)</f>
        <v>E      TECNICO FORMAZIONE TRENO ….……..……………..……………….…………. 1° Tecnico della Verifica</v>
      </c>
      <c r="K155" s="197"/>
      <c r="L155" s="197"/>
      <c r="M155" s="197"/>
      <c r="N155" s="197"/>
      <c r="O155" s="197"/>
      <c r="P155" s="147">
        <v>25</v>
      </c>
      <c r="Q155" s="147">
        <v>65</v>
      </c>
      <c r="R155" s="160"/>
      <c r="S155" s="147">
        <v>25</v>
      </c>
      <c r="T155" s="147">
        <v>65</v>
      </c>
      <c r="U155" s="147"/>
    </row>
    <row r="156" spans="1:21" ht="18" customHeight="1" hidden="1" thickBot="1">
      <c r="A156" s="148" t="str">
        <f t="shared" si="10"/>
        <v>E-TECNICO FORMAZIONE TRENO-1° Tecnico di Stazione</v>
      </c>
      <c r="B156" s="147">
        <v>122</v>
      </c>
      <c r="C156" s="213" t="s">
        <v>398</v>
      </c>
      <c r="D156" s="204" t="s">
        <v>458</v>
      </c>
      <c r="E156" s="205" t="s">
        <v>229</v>
      </c>
      <c r="F156" s="206">
        <v>72.3</v>
      </c>
      <c r="G156" s="207">
        <v>62.74951323937261</v>
      </c>
      <c r="H156" s="206">
        <v>123.07</v>
      </c>
      <c r="I156" s="220">
        <v>83.63898492978751</v>
      </c>
      <c r="J156" s="196" t="str">
        <f>CONCATENATE(C156,"      ",D156," ….……..……………..……………….…………. ",E156)</f>
        <v>E      TECNICO FORMAZIONE TRENO ….……..……………..……………….…………. 1° Tecnico di Stazione</v>
      </c>
      <c r="K156" s="197"/>
      <c r="L156" s="197"/>
      <c r="M156" s="197"/>
      <c r="N156" s="197"/>
      <c r="O156" s="197"/>
      <c r="P156" s="147">
        <v>30</v>
      </c>
      <c r="Q156" s="147">
        <v>65</v>
      </c>
      <c r="R156" s="160"/>
      <c r="S156" s="147">
        <v>30</v>
      </c>
      <c r="T156" s="147">
        <v>65</v>
      </c>
      <c r="U156" s="147"/>
    </row>
    <row r="157" spans="1:21" ht="18" customHeight="1" hidden="1" thickBot="1">
      <c r="A157" s="148" t="str">
        <f t="shared" si="10"/>
        <v>E-TECNICO FORMAZIONE TRENO-Ex profilo non previsto</v>
      </c>
      <c r="B157" s="174">
        <v>123</v>
      </c>
      <c r="C157" s="213" t="s">
        <v>398</v>
      </c>
      <c r="D157" s="204" t="s">
        <v>458</v>
      </c>
      <c r="E157" s="200" t="s">
        <v>374</v>
      </c>
      <c r="F157" s="206">
        <v>72.3</v>
      </c>
      <c r="G157" s="207">
        <v>62.74951323937261</v>
      </c>
      <c r="H157" s="206">
        <v>123.07</v>
      </c>
      <c r="I157" s="220">
        <v>83.63898492978751</v>
      </c>
      <c r="J157" s="196" t="str">
        <f>CONCATENATE(C157,"      ",D157,"                    ",E157)</f>
        <v>E      TECNICO FORMAZIONE TRENO                    Ex profilo non previsto</v>
      </c>
      <c r="K157" s="197"/>
      <c r="L157" s="197"/>
      <c r="M157" s="197"/>
      <c r="N157" s="197"/>
      <c r="O157" s="197"/>
      <c r="P157" s="147">
        <v>30</v>
      </c>
      <c r="Q157" s="147">
        <v>65</v>
      </c>
      <c r="R157" s="160"/>
      <c r="S157" s="147">
        <v>30</v>
      </c>
      <c r="T157" s="147">
        <v>65</v>
      </c>
      <c r="U157" s="147"/>
    </row>
    <row r="158" spans="1:21" ht="18" customHeight="1" hidden="1" thickBot="1">
      <c r="A158" s="148" t="str">
        <f t="shared" si="10"/>
        <v>E-TECNICO MANUTENZIONE-1° Tecnico Manutenzione Infrastrutture</v>
      </c>
      <c r="B158" s="147">
        <v>124</v>
      </c>
      <c r="C158" s="213" t="s">
        <v>398</v>
      </c>
      <c r="D158" s="204" t="s">
        <v>459</v>
      </c>
      <c r="E158" s="205" t="s">
        <v>233</v>
      </c>
      <c r="F158" s="206">
        <v>63.01</v>
      </c>
      <c r="G158" s="207">
        <v>57.17177872920615</v>
      </c>
      <c r="H158" s="206">
        <v>89.25</v>
      </c>
      <c r="I158" s="220">
        <v>83.63898492978751</v>
      </c>
      <c r="J158" s="196" t="str">
        <f>CONCATENATE(C158,"      ",D158,"……………………………..………………………………. ",E158)</f>
        <v>E      TECNICO MANUTENZIONE……………………………..………………………………. 1° Tecnico Manutenzione Infrastrutture</v>
      </c>
      <c r="K158" s="197"/>
      <c r="L158" s="197"/>
      <c r="M158" s="197"/>
      <c r="N158" s="197"/>
      <c r="O158" s="197"/>
      <c r="P158" s="147">
        <v>25</v>
      </c>
      <c r="Q158" s="147">
        <v>65</v>
      </c>
      <c r="R158" s="160"/>
      <c r="S158" s="147">
        <v>25</v>
      </c>
      <c r="T158" s="147">
        <v>65</v>
      </c>
      <c r="U158" s="147"/>
    </row>
    <row r="159" spans="1:21" ht="18" customHeight="1" hidden="1" thickBot="1">
      <c r="A159" s="148" t="str">
        <f t="shared" si="10"/>
        <v>E-TECNICO MANUTENZIONE-1° Tecnico Manutenzione Rotabili</v>
      </c>
      <c r="B159" s="174">
        <v>125</v>
      </c>
      <c r="C159" s="213" t="s">
        <v>398</v>
      </c>
      <c r="D159" s="204" t="s">
        <v>459</v>
      </c>
      <c r="E159" s="205" t="s">
        <v>234</v>
      </c>
      <c r="F159" s="206">
        <v>63.01</v>
      </c>
      <c r="G159" s="207">
        <v>57.1717787292062</v>
      </c>
      <c r="H159" s="206">
        <v>125.48</v>
      </c>
      <c r="I159" s="220">
        <v>83.63898492978751</v>
      </c>
      <c r="J159" s="196" t="str">
        <f>CONCATENATE(C159,"      ",D159,"……………………………..………………………………. ",E159)</f>
        <v>E      TECNICO MANUTENZIONE……………………………..………………………………. 1° Tecnico Manutenzione Rotabili</v>
      </c>
      <c r="K159" s="197"/>
      <c r="L159" s="197"/>
      <c r="M159" s="197"/>
      <c r="N159" s="197"/>
      <c r="O159" s="197"/>
      <c r="P159" s="147">
        <v>25</v>
      </c>
      <c r="Q159" s="147">
        <v>65</v>
      </c>
      <c r="R159" s="160"/>
      <c r="S159" s="147">
        <v>25</v>
      </c>
      <c r="T159" s="147">
        <v>65</v>
      </c>
      <c r="U159" s="147"/>
    </row>
    <row r="160" spans="1:21" ht="18" customHeight="1" hidden="1" thickBot="1">
      <c r="A160" s="148" t="str">
        <f t="shared" si="10"/>
        <v>E-TECNICO MANUTENZIONE-1° Tecnico Officine navi Traghetto</v>
      </c>
      <c r="B160" s="147">
        <v>126</v>
      </c>
      <c r="C160" s="213" t="s">
        <v>398</v>
      </c>
      <c r="D160" s="204" t="s">
        <v>459</v>
      </c>
      <c r="E160" s="205" t="s">
        <v>235</v>
      </c>
      <c r="F160" s="206">
        <v>152.35</v>
      </c>
      <c r="G160" s="207">
        <v>110.78</v>
      </c>
      <c r="H160" s="206">
        <v>112.48</v>
      </c>
      <c r="I160" s="220">
        <v>83.63898492978751</v>
      </c>
      <c r="J160" s="196" t="str">
        <f>CONCATENATE(C160,"      ",D160,"……………………………..………………………………. ",E160)</f>
        <v>E      TECNICO MANUTENZIONE……………………………..………………………………. 1° Tecnico Officine navi Traghetto</v>
      </c>
      <c r="K160" s="197"/>
      <c r="L160" s="197"/>
      <c r="M160" s="197"/>
      <c r="N160" s="197"/>
      <c r="O160" s="197"/>
      <c r="P160" s="147">
        <v>25</v>
      </c>
      <c r="Q160" s="147">
        <v>65</v>
      </c>
      <c r="R160" s="160"/>
      <c r="S160" s="147">
        <v>25</v>
      </c>
      <c r="T160" s="147">
        <v>65</v>
      </c>
      <c r="U160" s="147"/>
    </row>
    <row r="161" spans="1:21" ht="18" customHeight="1" hidden="1" thickBot="1">
      <c r="A161" s="148" t="str">
        <f t="shared" si="10"/>
        <v>E-TECNICO MANUTENZIONE-1° Tecnico Officine Nazionali Infrastrutture</v>
      </c>
      <c r="B161" s="174">
        <v>127</v>
      </c>
      <c r="C161" s="213" t="s">
        <v>398</v>
      </c>
      <c r="D161" s="204" t="s">
        <v>459</v>
      </c>
      <c r="E161" s="205" t="s">
        <v>236</v>
      </c>
      <c r="F161" s="206">
        <v>152.35</v>
      </c>
      <c r="G161" s="207">
        <v>110.78</v>
      </c>
      <c r="H161" s="206">
        <v>125.48</v>
      </c>
      <c r="I161" s="220">
        <v>83.63898492978751</v>
      </c>
      <c r="J161" s="196" t="str">
        <f>CONCATENATE(C161,"      ",D161,"……………………………..………………………………. ",E161)</f>
        <v>E      TECNICO MANUTENZIONE……………………………..………………………………. 1° Tecnico Officine Nazionali Infrastrutture</v>
      </c>
      <c r="K161" s="197"/>
      <c r="L161" s="197"/>
      <c r="M161" s="197"/>
      <c r="N161" s="197"/>
      <c r="O161" s="197"/>
      <c r="P161" s="147">
        <v>25</v>
      </c>
      <c r="Q161" s="147">
        <v>65</v>
      </c>
      <c r="R161" s="160"/>
      <c r="S161" s="147">
        <v>25</v>
      </c>
      <c r="T161" s="147">
        <v>65</v>
      </c>
      <c r="U161" s="147"/>
    </row>
    <row r="162" spans="1:21" ht="18" customHeight="1" hidden="1" thickBot="1">
      <c r="A162" s="148" t="str">
        <f t="shared" si="10"/>
        <v>E-TECNICO SANITARIO SPECIALIZZATO-Assistente Sanitario</v>
      </c>
      <c r="B162" s="147">
        <v>128</v>
      </c>
      <c r="C162" s="213" t="s">
        <v>398</v>
      </c>
      <c r="D162" s="204" t="s">
        <v>460</v>
      </c>
      <c r="E162" s="205" t="s">
        <v>237</v>
      </c>
      <c r="F162" s="206">
        <v>60.43</v>
      </c>
      <c r="G162" s="207">
        <v>55.622408031937695</v>
      </c>
      <c r="H162" s="206">
        <v>74.79</v>
      </c>
      <c r="I162" s="220">
        <v>83.63898492978751</v>
      </c>
      <c r="J162" s="196" t="str">
        <f>CONCATENATE(C162,"      ",D162," ….….………...………………………… ",E162)</f>
        <v>E      TECNICO SANITARIO SPECIALIZZATO ….….………...………………………… Assistente Sanitario</v>
      </c>
      <c r="K162" s="197"/>
      <c r="L162" s="197"/>
      <c r="M162" s="197"/>
      <c r="N162" s="197"/>
      <c r="O162" s="197"/>
      <c r="P162" s="147">
        <v>30</v>
      </c>
      <c r="Q162" s="147">
        <v>65</v>
      </c>
      <c r="R162" s="160"/>
      <c r="S162" s="147">
        <v>30</v>
      </c>
      <c r="T162" s="147">
        <v>65</v>
      </c>
      <c r="U162" s="147"/>
    </row>
    <row r="163" spans="1:21" ht="18" customHeight="1" hidden="1" thickBot="1">
      <c r="A163" s="148" t="str">
        <f t="shared" si="10"/>
        <v>E-TECNICO SANITARIO SPECIALIZZATO-Ex profilo non previsto</v>
      </c>
      <c r="B163" s="174">
        <v>129</v>
      </c>
      <c r="C163" s="214" t="s">
        <v>398</v>
      </c>
      <c r="D163" s="209" t="s">
        <v>460</v>
      </c>
      <c r="E163" s="200" t="s">
        <v>374</v>
      </c>
      <c r="F163" s="210">
        <v>60.43</v>
      </c>
      <c r="G163" s="211">
        <v>55.622408031937695</v>
      </c>
      <c r="H163" s="210">
        <v>74.79</v>
      </c>
      <c r="I163" s="221">
        <v>83.63898492978751</v>
      </c>
      <c r="J163" s="196" t="str">
        <f>CONCATENATE(C163,"      ",D163,"                    ",E163)</f>
        <v>E      TECNICO SANITARIO SPECIALIZZATO                    Ex profilo non previsto</v>
      </c>
      <c r="K163" s="197"/>
      <c r="L163" s="197"/>
      <c r="M163" s="197"/>
      <c r="N163" s="197"/>
      <c r="O163" s="197"/>
      <c r="P163" s="147">
        <v>30</v>
      </c>
      <c r="Q163" s="147">
        <v>65</v>
      </c>
      <c r="R163" s="160"/>
      <c r="S163" s="147">
        <v>30</v>
      </c>
      <c r="T163" s="147">
        <v>65</v>
      </c>
      <c r="U163" s="147"/>
    </row>
    <row r="164" spans="1:21" ht="18" customHeight="1" hidden="1" thickBot="1">
      <c r="A164" s="148" t="str">
        <f t="shared" si="10"/>
        <v>F1-AUTISTA-Autista (par. 156)</v>
      </c>
      <c r="B164" s="147">
        <v>130</v>
      </c>
      <c r="C164" s="198" t="s">
        <v>399</v>
      </c>
      <c r="D164" s="199" t="s">
        <v>461</v>
      </c>
      <c r="E164" s="205" t="s">
        <v>238</v>
      </c>
      <c r="F164" s="201">
        <v>55.26</v>
      </c>
      <c r="G164" s="202">
        <v>51.248018096649744</v>
      </c>
      <c r="H164" s="201">
        <v>69.94</v>
      </c>
      <c r="I164" s="202">
        <v>49.91417310085876</v>
      </c>
      <c r="J164" s="196" t="str">
        <f>CONCATENATE(C164,"      ",D164," …………....……....…….….……...………..……….…………….………………… ",E164)</f>
        <v>F1      AUTISTA …………....……....…….….……...………..……….…………….………………… Autista (par. 156)</v>
      </c>
      <c r="K164" s="197"/>
      <c r="L164" s="197"/>
      <c r="M164" s="197"/>
      <c r="N164" s="197"/>
      <c r="O164" s="197"/>
      <c r="P164" s="147">
        <v>30</v>
      </c>
      <c r="Q164" s="147">
        <v>65</v>
      </c>
      <c r="R164" s="160"/>
      <c r="S164" s="147">
        <v>30</v>
      </c>
      <c r="T164" s="147">
        <v>65</v>
      </c>
      <c r="U164" s="147"/>
    </row>
    <row r="165" spans="1:21" ht="18" customHeight="1" hidden="1" thickBot="1">
      <c r="A165" s="148" t="str">
        <f aca="true" t="shared" si="13" ref="A165:A228">C165&amp;$A$34&amp;D165&amp;$A$34&amp;E165</f>
        <v>F1-CAPO SQUADRA AUSILIARI-Capo Squadra Ausiliari (par. 156)</v>
      </c>
      <c r="B165" s="174">
        <v>131</v>
      </c>
      <c r="C165" s="203" t="s">
        <v>399</v>
      </c>
      <c r="D165" s="204" t="s">
        <v>462</v>
      </c>
      <c r="E165" s="205" t="s">
        <v>239</v>
      </c>
      <c r="F165" s="206">
        <v>52.68</v>
      </c>
      <c r="G165" s="207">
        <v>49.69864739938129</v>
      </c>
      <c r="H165" s="206">
        <v>68.64</v>
      </c>
      <c r="I165" s="207">
        <v>49.91417310085876</v>
      </c>
      <c r="J165" s="196" t="str">
        <f>CONCATENATE(C165,"      ",D165,"…..………....…………..………………………………. ",E165)</f>
        <v>F1      CAPO SQUADRA AUSILIARI…..………....…………..………………………………. Capo Squadra Ausiliari (par. 156)</v>
      </c>
      <c r="K165" s="197"/>
      <c r="L165" s="197"/>
      <c r="M165" s="197"/>
      <c r="N165" s="197"/>
      <c r="O165" s="197"/>
      <c r="P165" s="147">
        <v>30</v>
      </c>
      <c r="Q165" s="147">
        <v>65</v>
      </c>
      <c r="R165" s="160"/>
      <c r="S165" s="147">
        <v>30</v>
      </c>
      <c r="T165" s="147">
        <v>65</v>
      </c>
      <c r="U165" s="147"/>
    </row>
    <row r="166" spans="1:21" ht="18" customHeight="1" hidden="1" thickBot="1">
      <c r="A166" s="148" t="str">
        <f t="shared" si="13"/>
        <v>F1-CAPO SQUADRA AUSILIARI-Capo Squadra Manovali r.e.</v>
      </c>
      <c r="B166" s="147">
        <v>132</v>
      </c>
      <c r="C166" s="203" t="s">
        <v>399</v>
      </c>
      <c r="D166" s="204" t="s">
        <v>462</v>
      </c>
      <c r="E166" s="205" t="s">
        <v>240</v>
      </c>
      <c r="F166" s="206">
        <v>45.45</v>
      </c>
      <c r="G166" s="207">
        <v>45.360409447029596</v>
      </c>
      <c r="H166" s="206">
        <v>68.64</v>
      </c>
      <c r="I166" s="207">
        <v>49.91417310085876</v>
      </c>
      <c r="J166" s="196" t="str">
        <f>CONCATENATE(C166,"      ",D166,"…..………....…………..………………………………. ",E166)</f>
        <v>F1      CAPO SQUADRA AUSILIARI…..………....…………..………………………………. Capo Squadra Manovali r.e.</v>
      </c>
      <c r="K166" s="197"/>
      <c r="L166" s="197"/>
      <c r="M166" s="197"/>
      <c r="N166" s="197"/>
      <c r="O166" s="197"/>
      <c r="P166" s="147">
        <v>30</v>
      </c>
      <c r="Q166" s="147">
        <v>65</v>
      </c>
      <c r="R166" s="160"/>
      <c r="S166" s="147">
        <v>30</v>
      </c>
      <c r="T166" s="147">
        <v>65</v>
      </c>
      <c r="U166" s="147"/>
    </row>
    <row r="167" spans="1:21" ht="18" customHeight="1" hidden="1" thickBot="1">
      <c r="A167" s="148" t="str">
        <f t="shared" si="13"/>
        <v>F1-CAPO SQUADRA AUSILIARI-Ex profilo non previsto</v>
      </c>
      <c r="B167" s="174">
        <v>133</v>
      </c>
      <c r="C167" s="203" t="s">
        <v>399</v>
      </c>
      <c r="D167" s="204" t="s">
        <v>462</v>
      </c>
      <c r="E167" s="200" t="s">
        <v>374</v>
      </c>
      <c r="F167" s="206">
        <v>52.68</v>
      </c>
      <c r="G167" s="207">
        <v>49.69864739938129</v>
      </c>
      <c r="H167" s="206">
        <v>68.64</v>
      </c>
      <c r="I167" s="207">
        <v>49.91417310085876</v>
      </c>
      <c r="J167" s="196" t="str">
        <f>CONCATENATE(C167,"      ",D167,"                    ",E167)</f>
        <v>F1      CAPO SQUADRA AUSILIARI                    Ex profilo non previsto</v>
      </c>
      <c r="K167" s="197"/>
      <c r="L167" s="197"/>
      <c r="M167" s="197"/>
      <c r="N167" s="197"/>
      <c r="O167" s="197"/>
      <c r="P167" s="147">
        <v>30</v>
      </c>
      <c r="Q167" s="147">
        <v>65</v>
      </c>
      <c r="R167" s="160"/>
      <c r="S167" s="147">
        <v>30</v>
      </c>
      <c r="T167" s="147">
        <v>65</v>
      </c>
      <c r="U167" s="147"/>
    </row>
    <row r="168" spans="1:21" ht="18" customHeight="1" hidden="1" thickBot="1">
      <c r="A168" s="148" t="str">
        <f t="shared" si="13"/>
        <v>F1-DISPENSIERE-Dispensiere</v>
      </c>
      <c r="B168" s="147">
        <v>134</v>
      </c>
      <c r="C168" s="203" t="s">
        <v>399</v>
      </c>
      <c r="D168" s="204" t="s">
        <v>463</v>
      </c>
      <c r="E168" s="205" t="s">
        <v>241</v>
      </c>
      <c r="F168" s="206">
        <v>144.61</v>
      </c>
      <c r="G168" s="207">
        <v>104.85624422213844</v>
      </c>
      <c r="H168" s="206">
        <v>129.11</v>
      </c>
      <c r="I168" s="207">
        <v>49.91417310085876</v>
      </c>
      <c r="J168" s="196" t="str">
        <f>CONCATENATE(C168,"      ",D168,"……..…………………………………..……….…...………………………….. ",E168)</f>
        <v>F1      DISPENSIERE……..…………………………………..……….…...………………………….. Dispensiere</v>
      </c>
      <c r="K168" s="197"/>
      <c r="L168" s="197"/>
      <c r="M168" s="197"/>
      <c r="N168" s="197"/>
      <c r="O168" s="197"/>
      <c r="P168" s="147">
        <v>30</v>
      </c>
      <c r="Q168" s="147">
        <v>65</v>
      </c>
      <c r="R168" s="160"/>
      <c r="S168" s="147">
        <v>30</v>
      </c>
      <c r="T168" s="147">
        <v>65</v>
      </c>
      <c r="U168" s="147"/>
    </row>
    <row r="169" spans="1:21" ht="18" customHeight="1" hidden="1" thickBot="1">
      <c r="A169" s="148" t="str">
        <f t="shared" si="13"/>
        <v>F1-INFERMIERE-Ex profilo non previsto</v>
      </c>
      <c r="B169" s="174">
        <v>135</v>
      </c>
      <c r="C169" s="203" t="s">
        <v>399</v>
      </c>
      <c r="D169" s="204" t="s">
        <v>464</v>
      </c>
      <c r="E169" s="200" t="s">
        <v>374</v>
      </c>
      <c r="F169" s="206">
        <v>49.06</v>
      </c>
      <c r="G169" s="207">
        <v>47.52952842320544</v>
      </c>
      <c r="H169" s="206">
        <v>69.94</v>
      </c>
      <c r="I169" s="207">
        <v>49.91417310085876</v>
      </c>
      <c r="J169" s="196" t="str">
        <f>CONCATENATE(C169,"      ",D169,"                    ",E169)</f>
        <v>F1      INFERMIERE                    Ex profilo non previsto</v>
      </c>
      <c r="K169" s="197"/>
      <c r="L169" s="197"/>
      <c r="M169" s="197"/>
      <c r="N169" s="197"/>
      <c r="O169" s="197"/>
      <c r="P169" s="147">
        <v>30</v>
      </c>
      <c r="Q169" s="147">
        <v>65</v>
      </c>
      <c r="R169" s="160"/>
      <c r="S169" s="147">
        <v>30</v>
      </c>
      <c r="T169" s="147">
        <v>65</v>
      </c>
      <c r="U169" s="147"/>
    </row>
    <row r="170" spans="1:21" ht="18" customHeight="1" hidden="1" thickBot="1">
      <c r="A170" s="148" t="str">
        <f t="shared" si="13"/>
        <v>F1-INGRASSATORE-Ingrassatore (par. 156)</v>
      </c>
      <c r="B170" s="147">
        <v>136</v>
      </c>
      <c r="C170" s="203" t="s">
        <v>399</v>
      </c>
      <c r="D170" s="204" t="s">
        <v>465</v>
      </c>
      <c r="E170" s="205" t="s">
        <v>242</v>
      </c>
      <c r="F170" s="206">
        <v>144.61</v>
      </c>
      <c r="G170" s="207">
        <v>104.85624422213844</v>
      </c>
      <c r="H170" s="206">
        <v>129.11</v>
      </c>
      <c r="I170" s="207">
        <v>49.91417310085876</v>
      </c>
      <c r="J170" s="196" t="str">
        <f>CONCATENATE(C170,"      ",D170,"……...…..……….………………….…….…...………………………….. ",E170)</f>
        <v>F1      INGRASSATORE……...…..……….………………….…….…...………………………….. Ingrassatore (par. 156)</v>
      </c>
      <c r="K170" s="197"/>
      <c r="L170" s="197"/>
      <c r="M170" s="197"/>
      <c r="N170" s="197"/>
      <c r="O170" s="197"/>
      <c r="P170" s="147">
        <v>25</v>
      </c>
      <c r="Q170" s="147">
        <v>58</v>
      </c>
      <c r="R170" s="160"/>
      <c r="S170" s="147">
        <v>25</v>
      </c>
      <c r="T170" s="147">
        <v>58</v>
      </c>
      <c r="U170" s="147"/>
    </row>
    <row r="171" spans="1:21" ht="18" customHeight="1" hidden="1" thickBot="1">
      <c r="A171" s="148" t="str">
        <f t="shared" si="13"/>
        <v>F1-MARINAIO-Marinaio (par. 156)</v>
      </c>
      <c r="B171" s="174">
        <v>137</v>
      </c>
      <c r="C171" s="203" t="s">
        <v>399</v>
      </c>
      <c r="D171" s="204" t="s">
        <v>466</v>
      </c>
      <c r="E171" s="205" t="s">
        <v>243</v>
      </c>
      <c r="F171" s="206">
        <v>144.61</v>
      </c>
      <c r="G171" s="207">
        <v>104.85624422213844</v>
      </c>
      <c r="H171" s="206">
        <v>129.11</v>
      </c>
      <c r="I171" s="207">
        <v>49.91417310085876</v>
      </c>
      <c r="J171" s="196" t="str">
        <f>CONCATENATE(C171,"      ",D171," …………....……....…….….…….….……...…….…………….………………… ",E171)</f>
        <v>F1      MARINAIO …………....……....…….….…….….……...…….…………….………………… Marinaio (par. 156)</v>
      </c>
      <c r="K171" s="197"/>
      <c r="L171" s="197"/>
      <c r="M171" s="197"/>
      <c r="N171" s="197"/>
      <c r="O171" s="197"/>
      <c r="P171" s="147">
        <v>25</v>
      </c>
      <c r="Q171" s="147">
        <v>58</v>
      </c>
      <c r="R171" s="160"/>
      <c r="S171" s="147">
        <v>25</v>
      </c>
      <c r="T171" s="147">
        <v>58</v>
      </c>
      <c r="U171" s="147"/>
    </row>
    <row r="172" spans="1:21" ht="18" customHeight="1" hidden="1" thickBot="1">
      <c r="A172" s="148" t="str">
        <f t="shared" si="13"/>
        <v>F1-OPERATORE SPECIALIZZATO DI BORDO-Conduttore (par. 156)</v>
      </c>
      <c r="B172" s="147">
        <v>138</v>
      </c>
      <c r="C172" s="203" t="s">
        <v>399</v>
      </c>
      <c r="D172" s="204" t="s">
        <v>315</v>
      </c>
      <c r="E172" s="205" t="s">
        <v>244</v>
      </c>
      <c r="F172" s="206">
        <v>90.38</v>
      </c>
      <c r="G172" s="207">
        <v>72.31945957950079</v>
      </c>
      <c r="H172" s="206">
        <v>86.25</v>
      </c>
      <c r="I172" s="207">
        <v>49.91417310085876</v>
      </c>
      <c r="J172" s="196" t="str">
        <f>CONCATENATE(C172,"      ",D172," …….......…..…..….…….………… ",E172)</f>
        <v>F1      OPERATORE SPECIALIZZATO DI BORDO …….......…..…..….…….………… Conduttore (par. 156)</v>
      </c>
      <c r="K172" s="197"/>
      <c r="L172" s="197"/>
      <c r="M172" s="197"/>
      <c r="N172" s="197"/>
      <c r="O172" s="197"/>
      <c r="P172" s="147">
        <v>25</v>
      </c>
      <c r="Q172" s="147">
        <v>58</v>
      </c>
      <c r="R172" s="160"/>
      <c r="S172" s="147">
        <v>25</v>
      </c>
      <c r="T172" s="147">
        <v>58</v>
      </c>
      <c r="U172" s="147"/>
    </row>
    <row r="173" spans="1:21" ht="18" customHeight="1" hidden="1" thickBot="1">
      <c r="A173" s="148" t="str">
        <f t="shared" si="13"/>
        <v>F1-OPERATORE SPECIALIZZATO DI BORDO-Ex profilo non previsto</v>
      </c>
      <c r="B173" s="174">
        <v>139</v>
      </c>
      <c r="C173" s="203" t="s">
        <v>399</v>
      </c>
      <c r="D173" s="204" t="s">
        <v>315</v>
      </c>
      <c r="E173" s="200" t="s">
        <v>374</v>
      </c>
      <c r="F173" s="206">
        <v>90.38</v>
      </c>
      <c r="G173" s="207">
        <v>72.31945957950079</v>
      </c>
      <c r="H173" s="206">
        <v>86.25</v>
      </c>
      <c r="I173" s="207">
        <v>49.91417310085876</v>
      </c>
      <c r="J173" s="196" t="str">
        <f>CONCATENATE(C173,"      ",D173,"                    ",E173)</f>
        <v>F1      OPERATORE SPECIALIZZATO DI BORDO                    Ex profilo non previsto</v>
      </c>
      <c r="K173" s="197"/>
      <c r="L173" s="197"/>
      <c r="M173" s="197"/>
      <c r="N173" s="197"/>
      <c r="O173" s="197"/>
      <c r="P173" s="147">
        <v>30</v>
      </c>
      <c r="Q173" s="147">
        <v>65</v>
      </c>
      <c r="R173" s="160"/>
      <c r="S173" s="147">
        <v>30</v>
      </c>
      <c r="T173" s="147">
        <v>65</v>
      </c>
      <c r="U173" s="147"/>
    </row>
    <row r="174" spans="1:21" ht="18" customHeight="1" hidden="1" thickBot="1">
      <c r="A174" s="148" t="str">
        <f t="shared" si="13"/>
        <v>F1-OPERATORE SANITARIO SPECIALIZZATO-Operatore Sanitario (par. 156)</v>
      </c>
      <c r="B174" s="147">
        <v>140</v>
      </c>
      <c r="C174" s="203" t="s">
        <v>399</v>
      </c>
      <c r="D174" s="204" t="s">
        <v>468</v>
      </c>
      <c r="E174" s="205" t="s">
        <v>245</v>
      </c>
      <c r="F174" s="206">
        <v>49.06</v>
      </c>
      <c r="G174" s="207">
        <v>47.52952842320544</v>
      </c>
      <c r="H174" s="206">
        <v>69.94</v>
      </c>
      <c r="I174" s="207">
        <v>49.91417310085876</v>
      </c>
      <c r="J174" s="196" t="str">
        <f>CONCATENATE(C174,"      ",D174," ……….……...….…….………… ",E174)</f>
        <v>F1      OPERATORE SANITARIO SPECIALIZZATO ……….……...….…….………… Operatore Sanitario (par. 156)</v>
      </c>
      <c r="K174" s="197"/>
      <c r="L174" s="197"/>
      <c r="M174" s="197"/>
      <c r="N174" s="197"/>
      <c r="O174" s="197"/>
      <c r="P174" s="147">
        <v>30</v>
      </c>
      <c r="Q174" s="147">
        <v>65</v>
      </c>
      <c r="R174" s="160"/>
      <c r="S174" s="147">
        <v>30</v>
      </c>
      <c r="T174" s="147">
        <v>65</v>
      </c>
      <c r="U174" s="147"/>
    </row>
    <row r="175" spans="1:21" ht="18" customHeight="1" hidden="1" thickBot="1">
      <c r="A175" s="148" t="str">
        <f t="shared" si="13"/>
        <v>F1-OPERATORE SANITARIO SPECIALIZZATO-Ex profilo non previsto</v>
      </c>
      <c r="B175" s="174">
        <v>141</v>
      </c>
      <c r="C175" s="203" t="s">
        <v>399</v>
      </c>
      <c r="D175" s="204" t="s">
        <v>468</v>
      </c>
      <c r="E175" s="200" t="s">
        <v>374</v>
      </c>
      <c r="F175" s="206">
        <v>49.06</v>
      </c>
      <c r="G175" s="207">
        <v>47.52952842320544</v>
      </c>
      <c r="H175" s="206">
        <v>69.94</v>
      </c>
      <c r="I175" s="207">
        <v>49.91417310085876</v>
      </c>
      <c r="J175" s="196" t="str">
        <f>CONCATENATE(C175,"      ",D175,"                    ",E175)</f>
        <v>F1      OPERATORE SANITARIO SPECIALIZZATO                    Ex profilo non previsto</v>
      </c>
      <c r="K175" s="197"/>
      <c r="L175" s="197"/>
      <c r="M175" s="197"/>
      <c r="N175" s="197"/>
      <c r="O175" s="197"/>
      <c r="P175" s="147">
        <v>30</v>
      </c>
      <c r="Q175" s="147">
        <v>65</v>
      </c>
      <c r="R175" s="160"/>
      <c r="S175" s="147">
        <v>30</v>
      </c>
      <c r="T175" s="147">
        <v>65</v>
      </c>
      <c r="U175" s="147"/>
    </row>
    <row r="176" spans="1:21" ht="18" customHeight="1" hidden="1" thickBot="1">
      <c r="A176" s="148" t="str">
        <f t="shared" si="13"/>
        <v>F1-OPERATORE SPEC.TO MANUTENZIONE-Tecnico (par. 156)</v>
      </c>
      <c r="B176" s="147">
        <v>142</v>
      </c>
      <c r="C176" s="203" t="s">
        <v>399</v>
      </c>
      <c r="D176" s="204" t="s">
        <v>469</v>
      </c>
      <c r="E176" s="205" t="s">
        <v>246</v>
      </c>
      <c r="F176" s="206">
        <v>52.16</v>
      </c>
      <c r="G176" s="207">
        <v>49.388773259927596</v>
      </c>
      <c r="H176" s="206">
        <v>104.21</v>
      </c>
      <c r="I176" s="207">
        <v>49.91417310085876</v>
      </c>
      <c r="J176" s="196" t="str">
        <f>CONCATENATE(C176,"      ",D176," ……....…….....….…….…….…… ",E176)</f>
        <v>F1      OPERATORE SPEC.TO MANUTENZIONE ……....…….....….…….…….…… Tecnico (par. 156)</v>
      </c>
      <c r="K176" s="197"/>
      <c r="L176" s="197"/>
      <c r="M176" s="197"/>
      <c r="N176" s="197"/>
      <c r="O176" s="197"/>
      <c r="P176" s="147">
        <v>30</v>
      </c>
      <c r="Q176" s="147">
        <v>65</v>
      </c>
      <c r="R176" s="160"/>
      <c r="S176" s="147">
        <v>30</v>
      </c>
      <c r="T176" s="147">
        <v>65</v>
      </c>
      <c r="U176" s="147"/>
    </row>
    <row r="177" spans="1:21" ht="18" customHeight="1" hidden="1" thickBot="1">
      <c r="A177" s="148" t="str">
        <f t="shared" si="13"/>
        <v>F1-OPERATORE SPEC.TO MANUTENZIONE-Operatore della Manutenzione (par. 156)</v>
      </c>
      <c r="B177" s="174">
        <v>143</v>
      </c>
      <c r="C177" s="203" t="s">
        <v>399</v>
      </c>
      <c r="D177" s="204" t="s">
        <v>469</v>
      </c>
      <c r="E177" s="205" t="s">
        <v>247</v>
      </c>
      <c r="F177" s="206">
        <v>48.03</v>
      </c>
      <c r="G177" s="207">
        <v>46.90978014429806</v>
      </c>
      <c r="H177" s="206">
        <v>104.21</v>
      </c>
      <c r="I177" s="207">
        <v>49.91417310085876</v>
      </c>
      <c r="J177" s="196" t="str">
        <f aca="true" t="shared" si="14" ref="J177:J183">CONCATENATE(C177,"      ",D177," ……....…….....….…….…….…… ",E177)</f>
        <v>F1      OPERATORE SPEC.TO MANUTENZIONE ……....…….....….…….…….…… Operatore della Manutenzione (par. 156)</v>
      </c>
      <c r="K177" s="197"/>
      <c r="L177" s="197"/>
      <c r="M177" s="197"/>
      <c r="N177" s="197"/>
      <c r="O177" s="197"/>
      <c r="P177" s="147">
        <v>25</v>
      </c>
      <c r="Q177" s="147">
        <v>65</v>
      </c>
      <c r="R177" s="223"/>
      <c r="S177" s="147">
        <v>25</v>
      </c>
      <c r="T177" s="147">
        <v>65</v>
      </c>
      <c r="U177" s="147"/>
    </row>
    <row r="178" spans="1:21" ht="18" customHeight="1" hidden="1" thickBot="1">
      <c r="A178" s="148" t="str">
        <f t="shared" si="13"/>
        <v>F1-OPERATORE SPEC.TO MANUTENZIONE-Assistente di Magazzino (par. 156)</v>
      </c>
      <c r="B178" s="147">
        <v>144</v>
      </c>
      <c r="C178" s="203" t="s">
        <v>399</v>
      </c>
      <c r="D178" s="204" t="s">
        <v>469</v>
      </c>
      <c r="E178" s="205" t="s">
        <v>248</v>
      </c>
      <c r="F178" s="206">
        <v>26.86</v>
      </c>
      <c r="G178" s="207">
        <v>34.20494042669669</v>
      </c>
      <c r="H178" s="206">
        <v>104.21</v>
      </c>
      <c r="I178" s="207">
        <v>49.91417310085876</v>
      </c>
      <c r="J178" s="196" t="str">
        <f t="shared" si="14"/>
        <v>F1      OPERATORE SPEC.TO MANUTENZIONE ……....…….....….…….…….…… Assistente di Magazzino (par. 156)</v>
      </c>
      <c r="K178" s="197"/>
      <c r="L178" s="197"/>
      <c r="M178" s="197"/>
      <c r="N178" s="197"/>
      <c r="O178" s="197"/>
      <c r="P178" s="147">
        <v>30</v>
      </c>
      <c r="Q178" s="147">
        <v>65</v>
      </c>
      <c r="R178" s="223"/>
      <c r="S178" s="147">
        <v>30</v>
      </c>
      <c r="T178" s="147">
        <v>65</v>
      </c>
      <c r="U178" s="147"/>
    </row>
    <row r="179" spans="1:21" ht="18" customHeight="1" hidden="1" thickBot="1">
      <c r="A179" s="148" t="str">
        <f t="shared" si="13"/>
        <v>F1-OPERATORE SPEC.TO MANUTENZIONE-Assistente di Deposito (par. 156)</v>
      </c>
      <c r="B179" s="174">
        <v>145</v>
      </c>
      <c r="C179" s="203" t="s">
        <v>399</v>
      </c>
      <c r="D179" s="204" t="s">
        <v>469</v>
      </c>
      <c r="E179" s="205" t="s">
        <v>249</v>
      </c>
      <c r="F179" s="206">
        <v>62.49</v>
      </c>
      <c r="G179" s="207">
        <v>55.586256049001435</v>
      </c>
      <c r="H179" s="206">
        <v>104.21</v>
      </c>
      <c r="I179" s="207">
        <v>49.91417310085876</v>
      </c>
      <c r="J179" s="196" t="str">
        <f t="shared" si="14"/>
        <v>F1      OPERATORE SPEC.TO MANUTENZIONE ……....…….....….…….…….…… Assistente di Deposito (par. 156)</v>
      </c>
      <c r="K179" s="197"/>
      <c r="L179" s="197"/>
      <c r="M179" s="197"/>
      <c r="N179" s="197"/>
      <c r="O179" s="197"/>
      <c r="P179" s="147">
        <v>25</v>
      </c>
      <c r="Q179" s="147">
        <v>58</v>
      </c>
      <c r="R179" s="223"/>
      <c r="S179" s="147">
        <v>25</v>
      </c>
      <c r="T179" s="147">
        <v>58</v>
      </c>
      <c r="U179" s="147"/>
    </row>
    <row r="180" spans="1:21" ht="18" customHeight="1" hidden="1" thickBot="1">
      <c r="A180" s="148" t="str">
        <f t="shared" si="13"/>
        <v>F1-OPERATORE SPEC.TO MANUTENZIONE-Manutenzione Infrastrutture</v>
      </c>
      <c r="B180" s="147">
        <v>146</v>
      </c>
      <c r="C180" s="203" t="s">
        <v>399</v>
      </c>
      <c r="D180" s="204" t="s">
        <v>469</v>
      </c>
      <c r="E180" s="205" t="s">
        <v>250</v>
      </c>
      <c r="F180" s="206">
        <v>52.16</v>
      </c>
      <c r="G180" s="207">
        <v>49.388773259927596</v>
      </c>
      <c r="H180" s="206">
        <v>79.08</v>
      </c>
      <c r="I180" s="207">
        <v>49.91417310085876</v>
      </c>
      <c r="J180" s="196" t="str">
        <f t="shared" si="14"/>
        <v>F1      OPERATORE SPEC.TO MANUTENZIONE ……....…….....….…….…….…… Manutenzione Infrastrutture</v>
      </c>
      <c r="K180" s="197"/>
      <c r="L180" s="197"/>
      <c r="M180" s="197"/>
      <c r="N180" s="197"/>
      <c r="O180" s="197"/>
      <c r="P180" s="147">
        <v>30</v>
      </c>
      <c r="Q180" s="147">
        <v>65</v>
      </c>
      <c r="R180" s="223"/>
      <c r="S180" s="147">
        <v>30</v>
      </c>
      <c r="T180" s="147">
        <v>65</v>
      </c>
      <c r="U180" s="147"/>
    </row>
    <row r="181" spans="1:21" ht="18" customHeight="1" hidden="1" thickBot="1">
      <c r="A181" s="148" t="str">
        <f t="shared" si="13"/>
        <v>F1-OPERATORE SPEC.TO MANUTENZIONE-Manutenzione Rotabili</v>
      </c>
      <c r="B181" s="174">
        <v>147</v>
      </c>
      <c r="C181" s="203" t="s">
        <v>399</v>
      </c>
      <c r="D181" s="204" t="s">
        <v>469</v>
      </c>
      <c r="E181" s="205" t="s">
        <v>251</v>
      </c>
      <c r="F181" s="206">
        <v>52.16</v>
      </c>
      <c r="G181" s="207">
        <v>49.388773259927596</v>
      </c>
      <c r="H181" s="206">
        <v>104.21</v>
      </c>
      <c r="I181" s="207">
        <v>49.91417310085876</v>
      </c>
      <c r="J181" s="196" t="str">
        <f t="shared" si="14"/>
        <v>F1      OPERATORE SPEC.TO MANUTENZIONE ……....…….....….…….…….…… Manutenzione Rotabili</v>
      </c>
      <c r="K181" s="197"/>
      <c r="L181" s="197"/>
      <c r="M181" s="197"/>
      <c r="N181" s="197"/>
      <c r="O181" s="197"/>
      <c r="P181" s="147">
        <v>30</v>
      </c>
      <c r="Q181" s="147">
        <v>65</v>
      </c>
      <c r="R181" s="223"/>
      <c r="S181" s="147">
        <v>30</v>
      </c>
      <c r="T181" s="147">
        <v>65</v>
      </c>
      <c r="U181" s="147"/>
    </row>
    <row r="182" spans="1:21" ht="18" customHeight="1" hidden="1" thickBot="1">
      <c r="A182" s="148" t="str">
        <f t="shared" si="13"/>
        <v>F1-OPERATORE SPEC.TO MANUTENZIONE-Officine Navi Traghetto</v>
      </c>
      <c r="B182" s="147">
        <v>148</v>
      </c>
      <c r="C182" s="203" t="s">
        <v>399</v>
      </c>
      <c r="D182" s="204" t="s">
        <v>469</v>
      </c>
      <c r="E182" s="205" t="s">
        <v>252</v>
      </c>
      <c r="F182" s="206">
        <v>52.16</v>
      </c>
      <c r="G182" s="207">
        <v>49.388773259927596</v>
      </c>
      <c r="H182" s="206">
        <v>91.21</v>
      </c>
      <c r="I182" s="207">
        <v>49.91417310085876</v>
      </c>
      <c r="J182" s="196" t="str">
        <f t="shared" si="14"/>
        <v>F1      OPERATORE SPEC.TO MANUTENZIONE ……....…….....….…….…….…… Officine Navi Traghetto</v>
      </c>
      <c r="K182" s="197"/>
      <c r="L182" s="197"/>
      <c r="M182" s="197"/>
      <c r="N182" s="197"/>
      <c r="O182" s="197"/>
      <c r="P182" s="147">
        <v>25</v>
      </c>
      <c r="Q182" s="147">
        <v>58</v>
      </c>
      <c r="R182" s="223"/>
      <c r="S182" s="147">
        <v>25</v>
      </c>
      <c r="T182" s="147">
        <v>58</v>
      </c>
      <c r="U182" s="147"/>
    </row>
    <row r="183" spans="1:21" ht="18" customHeight="1" hidden="1" thickBot="1">
      <c r="A183" s="148" t="str">
        <f t="shared" si="13"/>
        <v>F1-OPERATORE SPEC.TO MANUTENZIONE-Officine Nazionali Infrastrutture</v>
      </c>
      <c r="B183" s="174">
        <v>149</v>
      </c>
      <c r="C183" s="203" t="s">
        <v>399</v>
      </c>
      <c r="D183" s="204" t="s">
        <v>469</v>
      </c>
      <c r="E183" s="205" t="s">
        <v>253</v>
      </c>
      <c r="F183" s="206">
        <v>52.16</v>
      </c>
      <c r="G183" s="207">
        <v>49.388773259927596</v>
      </c>
      <c r="H183" s="206">
        <v>104.21</v>
      </c>
      <c r="I183" s="207">
        <v>49.91417310085876</v>
      </c>
      <c r="J183" s="196" t="str">
        <f t="shared" si="14"/>
        <v>F1      OPERATORE SPEC.TO MANUTENZIONE ……....…….....….…….…….…… Officine Nazionali Infrastrutture</v>
      </c>
      <c r="K183" s="197"/>
      <c r="L183" s="197"/>
      <c r="M183" s="197"/>
      <c r="N183" s="197"/>
      <c r="O183" s="197"/>
      <c r="P183" s="147">
        <v>30</v>
      </c>
      <c r="Q183" s="147">
        <v>65</v>
      </c>
      <c r="R183" s="223"/>
      <c r="S183" s="147">
        <v>30</v>
      </c>
      <c r="T183" s="147">
        <v>65</v>
      </c>
      <c r="U183" s="147"/>
    </row>
    <row r="184" spans="1:21" ht="18" customHeight="1" hidden="1" thickBot="1">
      <c r="A184" s="148" t="str">
        <f t="shared" si="13"/>
        <v>F1-OPERATORE SPECIALIZZATO CIRCOLAZIONE-Aiuto Macchinista r.e.</v>
      </c>
      <c r="B184" s="147">
        <v>150</v>
      </c>
      <c r="C184" s="203" t="s">
        <v>399</v>
      </c>
      <c r="D184" s="204" t="s">
        <v>470</v>
      </c>
      <c r="E184" s="205" t="s">
        <v>254</v>
      </c>
      <c r="F184" s="206">
        <v>97.61</v>
      </c>
      <c r="G184" s="207">
        <v>159.1188212387735</v>
      </c>
      <c r="H184" s="206">
        <v>107.73</v>
      </c>
      <c r="I184" s="207">
        <v>49.91417310085876</v>
      </c>
      <c r="J184" s="196" t="str">
        <f>CONCATENATE(C184,"      ",D184," …..…...….…….………… ",E184)</f>
        <v>F1      OPERATORE SPECIALIZZATO CIRCOLAZIONE …..…...….…….………… Aiuto Macchinista r.e.</v>
      </c>
      <c r="K184" s="197"/>
      <c r="L184" s="197"/>
      <c r="M184" s="197"/>
      <c r="N184" s="197"/>
      <c r="O184" s="197"/>
      <c r="P184" s="147">
        <v>25</v>
      </c>
      <c r="Q184" s="147">
        <v>58</v>
      </c>
      <c r="R184" s="223"/>
      <c r="S184" s="147">
        <v>25</v>
      </c>
      <c r="T184" s="147">
        <v>58</v>
      </c>
      <c r="U184" s="147"/>
    </row>
    <row r="185" spans="1:21" ht="18" customHeight="1" hidden="1" thickBot="1">
      <c r="A185" s="148" t="str">
        <f t="shared" si="13"/>
        <v>F1-OPERATORE SPECIALIZZATO CIRCOLAZIONE-Assistente Capo di Stazione r.e.</v>
      </c>
      <c r="B185" s="174">
        <v>151</v>
      </c>
      <c r="C185" s="203" t="s">
        <v>399</v>
      </c>
      <c r="D185" s="204" t="s">
        <v>470</v>
      </c>
      <c r="E185" s="205" t="s">
        <v>139</v>
      </c>
      <c r="F185" s="206">
        <v>43.38</v>
      </c>
      <c r="G185" s="207">
        <v>44.12091288921483</v>
      </c>
      <c r="H185" s="206">
        <v>107.73</v>
      </c>
      <c r="I185" s="207">
        <v>49.91417310085876</v>
      </c>
      <c r="J185" s="196" t="str">
        <f aca="true" t="shared" si="15" ref="J185:J191">CONCATENATE(C185,"      ",D185," …..…...….…….………… ",E185)</f>
        <v>F1      OPERATORE SPECIALIZZATO CIRCOLAZIONE …..…...….…….………… Assistente Capo di Stazione r.e.</v>
      </c>
      <c r="K185" s="197"/>
      <c r="L185" s="197"/>
      <c r="M185" s="197"/>
      <c r="N185" s="197"/>
      <c r="O185" s="197"/>
      <c r="P185" s="147">
        <v>30</v>
      </c>
      <c r="Q185" s="147">
        <v>65</v>
      </c>
      <c r="R185" s="147" t="s">
        <v>125</v>
      </c>
      <c r="S185" s="147">
        <v>30</v>
      </c>
      <c r="T185" s="147">
        <v>65</v>
      </c>
      <c r="U185" s="147"/>
    </row>
    <row r="186" spans="1:21" ht="18" customHeight="1" hidden="1" thickBot="1">
      <c r="A186" s="148" t="str">
        <f t="shared" si="13"/>
        <v>F1-OPERATORE SPECIALIZZATO CIRCOLAZIONE-Deviatore Capo</v>
      </c>
      <c r="B186" s="147">
        <v>152</v>
      </c>
      <c r="C186" s="203" t="s">
        <v>399</v>
      </c>
      <c r="D186" s="204" t="s">
        <v>470</v>
      </c>
      <c r="E186" s="205" t="s">
        <v>255</v>
      </c>
      <c r="F186" s="206">
        <v>64.04</v>
      </c>
      <c r="G186" s="207">
        <v>56.515878467362505</v>
      </c>
      <c r="H186" s="206">
        <v>107.73</v>
      </c>
      <c r="I186" s="207">
        <v>49.91417310085876</v>
      </c>
      <c r="J186" s="196" t="str">
        <f t="shared" si="15"/>
        <v>F1      OPERATORE SPECIALIZZATO CIRCOLAZIONE …..…...….…….………… Deviatore Capo</v>
      </c>
      <c r="K186" s="197"/>
      <c r="L186" s="197"/>
      <c r="M186" s="197"/>
      <c r="N186" s="197"/>
      <c r="O186" s="197"/>
      <c r="P186" s="147">
        <v>30</v>
      </c>
      <c r="Q186" s="147">
        <v>65</v>
      </c>
      <c r="R186" s="223"/>
      <c r="S186" s="147">
        <v>30</v>
      </c>
      <c r="T186" s="147">
        <v>65</v>
      </c>
      <c r="U186" s="147"/>
    </row>
    <row r="187" spans="1:21" ht="18" customHeight="1" hidden="1" thickBot="1">
      <c r="A187" s="148" t="str">
        <f t="shared" si="13"/>
        <v>F1-OPERATORE SPECIALIZZATO CIRCOLAZIONE-Macchinista t.m.</v>
      </c>
      <c r="B187" s="174">
        <v>153</v>
      </c>
      <c r="C187" s="203" t="s">
        <v>399</v>
      </c>
      <c r="D187" s="204" t="s">
        <v>470</v>
      </c>
      <c r="E187" s="205" t="s">
        <v>256</v>
      </c>
      <c r="F187" s="206">
        <v>100.71</v>
      </c>
      <c r="G187" s="207">
        <v>160.97806607549566</v>
      </c>
      <c r="H187" s="206">
        <v>107.73</v>
      </c>
      <c r="I187" s="207">
        <v>49.91417310085876</v>
      </c>
      <c r="J187" s="196" t="str">
        <f t="shared" si="15"/>
        <v>F1      OPERATORE SPECIALIZZATO CIRCOLAZIONE …..…...….…….………… Macchinista t.m.</v>
      </c>
      <c r="K187" s="197"/>
      <c r="L187" s="197"/>
      <c r="M187" s="197"/>
      <c r="N187" s="197"/>
      <c r="O187" s="197"/>
      <c r="P187" s="147">
        <v>25</v>
      </c>
      <c r="Q187" s="147">
        <v>58</v>
      </c>
      <c r="R187" s="223"/>
      <c r="S187" s="147">
        <v>25</v>
      </c>
      <c r="T187" s="147">
        <v>58</v>
      </c>
      <c r="U187" s="147"/>
    </row>
    <row r="188" spans="1:21" ht="18" customHeight="1" hidden="1" thickBot="1">
      <c r="A188" s="148" t="str">
        <f t="shared" si="13"/>
        <v>F1-OPERATORE SPECIALIZZATO CIRCOLAZIONE-Manovratore Capo</v>
      </c>
      <c r="B188" s="147">
        <v>154</v>
      </c>
      <c r="C188" s="203" t="s">
        <v>399</v>
      </c>
      <c r="D188" s="204" t="s">
        <v>470</v>
      </c>
      <c r="E188" s="205" t="s">
        <v>257</v>
      </c>
      <c r="F188" s="206">
        <v>66.62</v>
      </c>
      <c r="G188" s="207">
        <v>58.06524916463096</v>
      </c>
      <c r="H188" s="206">
        <v>107.73</v>
      </c>
      <c r="I188" s="207">
        <v>49.91417310085876</v>
      </c>
      <c r="J188" s="196" t="str">
        <f t="shared" si="15"/>
        <v>F1      OPERATORE SPECIALIZZATO CIRCOLAZIONE …..…...….…….………… Manovratore Capo</v>
      </c>
      <c r="K188" s="197"/>
      <c r="L188" s="197"/>
      <c r="M188" s="197"/>
      <c r="N188" s="197"/>
      <c r="O188" s="197"/>
      <c r="P188" s="147">
        <v>25</v>
      </c>
      <c r="Q188" s="147">
        <v>58</v>
      </c>
      <c r="R188" s="223"/>
      <c r="S188" s="147">
        <v>25</v>
      </c>
      <c r="T188" s="147">
        <v>58</v>
      </c>
      <c r="U188" s="147"/>
    </row>
    <row r="189" spans="1:21" ht="18" customHeight="1" hidden="1" thickBot="1">
      <c r="A189" s="148" t="str">
        <f t="shared" si="13"/>
        <v>F1-OPERATORE SPECIALIZZATO CIRCOLAZIONE-Operatore della Circolazione (par. 156)</v>
      </c>
      <c r="B189" s="174">
        <v>155</v>
      </c>
      <c r="C189" s="203" t="s">
        <v>399</v>
      </c>
      <c r="D189" s="204" t="s">
        <v>470</v>
      </c>
      <c r="E189" s="205" t="s">
        <v>258</v>
      </c>
      <c r="F189" s="206">
        <v>60.94</v>
      </c>
      <c r="G189" s="207">
        <v>54.65663363064036</v>
      </c>
      <c r="H189" s="206">
        <v>107.73</v>
      </c>
      <c r="I189" s="207">
        <v>49.91417310085876</v>
      </c>
      <c r="J189" s="196" t="str">
        <f t="shared" si="15"/>
        <v>F1      OPERATORE SPECIALIZZATO CIRCOLAZIONE …..…...….…….………… Operatore della Circolazione (par. 156)</v>
      </c>
      <c r="K189" s="197"/>
      <c r="L189" s="197"/>
      <c r="M189" s="197"/>
      <c r="N189" s="197"/>
      <c r="O189" s="197"/>
      <c r="P189" s="147">
        <v>30</v>
      </c>
      <c r="Q189" s="147">
        <v>65</v>
      </c>
      <c r="R189" s="223"/>
      <c r="S189" s="147">
        <v>30</v>
      </c>
      <c r="T189" s="147">
        <v>65</v>
      </c>
      <c r="U189" s="147"/>
    </row>
    <row r="190" spans="1:21" ht="18" customHeight="1" hidden="1" thickBot="1">
      <c r="A190" s="148" t="str">
        <f t="shared" si="13"/>
        <v>F1-OPERATORE SPECIALIZZATO CIRCOLAZIONE-Tecnico di Stazione(par. 156)</v>
      </c>
      <c r="B190" s="147">
        <v>156</v>
      </c>
      <c r="C190" s="203" t="s">
        <v>399</v>
      </c>
      <c r="D190" s="204" t="s">
        <v>470</v>
      </c>
      <c r="E190" s="205" t="s">
        <v>259</v>
      </c>
      <c r="F190" s="206">
        <v>53.71</v>
      </c>
      <c r="G190" s="207">
        <v>50.31839567828867</v>
      </c>
      <c r="H190" s="206">
        <v>107.73</v>
      </c>
      <c r="I190" s="207">
        <v>49.91417310085876</v>
      </c>
      <c r="J190" s="196" t="str">
        <f t="shared" si="15"/>
        <v>F1      OPERATORE SPECIALIZZATO CIRCOLAZIONE …..…...….…….………… Tecnico di Stazione(par. 156)</v>
      </c>
      <c r="K190" s="197"/>
      <c r="L190" s="197"/>
      <c r="M190" s="197"/>
      <c r="N190" s="197"/>
      <c r="O190" s="197"/>
      <c r="P190" s="147">
        <v>30</v>
      </c>
      <c r="Q190" s="147">
        <v>65</v>
      </c>
      <c r="R190" s="223"/>
      <c r="S190" s="147">
        <v>30</v>
      </c>
      <c r="T190" s="147">
        <v>65</v>
      </c>
      <c r="U190" s="147"/>
    </row>
    <row r="191" spans="1:21" ht="18" customHeight="1" hidden="1" thickBot="1">
      <c r="A191" s="148" t="str">
        <f t="shared" si="13"/>
        <v>F1-OPERATORE SPECIALIZZATO CIRCOLAZIONE-Verificatore</v>
      </c>
      <c r="B191" s="174">
        <v>157</v>
      </c>
      <c r="C191" s="203" t="s">
        <v>399</v>
      </c>
      <c r="D191" s="204" t="s">
        <v>470</v>
      </c>
      <c r="E191" s="205" t="s">
        <v>147</v>
      </c>
      <c r="F191" s="206">
        <v>49.58</v>
      </c>
      <c r="G191" s="207">
        <v>47.84</v>
      </c>
      <c r="H191" s="206">
        <v>107.73</v>
      </c>
      <c r="I191" s="207">
        <v>49.91417310085876</v>
      </c>
      <c r="J191" s="196" t="str">
        <f t="shared" si="15"/>
        <v>F1      OPERATORE SPECIALIZZATO CIRCOLAZIONE …..…...….…….………… Verificatore</v>
      </c>
      <c r="K191" s="197"/>
      <c r="L191" s="197"/>
      <c r="M191" s="197"/>
      <c r="N191" s="197"/>
      <c r="O191" s="197"/>
      <c r="P191" s="147">
        <v>25</v>
      </c>
      <c r="Q191" s="147">
        <v>65</v>
      </c>
      <c r="R191" s="223"/>
      <c r="S191" s="147">
        <v>25</v>
      </c>
      <c r="T191" s="147">
        <v>65</v>
      </c>
      <c r="U191" s="147"/>
    </row>
    <row r="192" spans="1:21" ht="18" customHeight="1" hidden="1" thickBot="1">
      <c r="A192" s="148" t="str">
        <f t="shared" si="13"/>
        <v>F1-OPERATORE SPECIALIZZATO CIRCOLAZIONE-Ex profilo non previsto</v>
      </c>
      <c r="B192" s="147">
        <v>158</v>
      </c>
      <c r="C192" s="203" t="s">
        <v>399</v>
      </c>
      <c r="D192" s="204" t="s">
        <v>470</v>
      </c>
      <c r="E192" s="200" t="s">
        <v>374</v>
      </c>
      <c r="F192" s="206">
        <v>60.94</v>
      </c>
      <c r="G192" s="207">
        <v>54.65663363064036</v>
      </c>
      <c r="H192" s="206">
        <v>107.73</v>
      </c>
      <c r="I192" s="207">
        <v>49.91417310085876</v>
      </c>
      <c r="J192" s="196" t="str">
        <f>CONCATENATE(C192,"      ",D192,"                    ",E192)</f>
        <v>F1      OPERATORE SPECIALIZZATO CIRCOLAZIONE                    Ex profilo non previsto</v>
      </c>
      <c r="K192" s="197"/>
      <c r="L192" s="197"/>
      <c r="M192" s="197"/>
      <c r="N192" s="197"/>
      <c r="O192" s="197"/>
      <c r="P192" s="147">
        <v>30</v>
      </c>
      <c r="Q192" s="147">
        <v>65</v>
      </c>
      <c r="R192" s="223"/>
      <c r="S192" s="147">
        <v>30</v>
      </c>
      <c r="T192" s="147">
        <v>65</v>
      </c>
      <c r="U192" s="147"/>
    </row>
    <row r="193" spans="1:21" ht="18" customHeight="1" hidden="1" thickBot="1">
      <c r="A193" s="148" t="str">
        <f t="shared" si="13"/>
        <v>F1-OPERATORE SPECIALIZZATO UFFICI-Operatore d'Ufficio (par. 156)</v>
      </c>
      <c r="B193" s="174">
        <v>159</v>
      </c>
      <c r="C193" s="203" t="s">
        <v>399</v>
      </c>
      <c r="D193" s="204" t="s">
        <v>471</v>
      </c>
      <c r="E193" s="205" t="s">
        <v>260</v>
      </c>
      <c r="F193" s="206">
        <v>33.57</v>
      </c>
      <c r="G193" s="207">
        <v>38.23330423959469</v>
      </c>
      <c r="H193" s="206">
        <v>69.94</v>
      </c>
      <c r="I193" s="207">
        <v>49.91417310085876</v>
      </c>
      <c r="J193" s="196" t="str">
        <f>CONCATENATE(C193,"      ",D193," ……..……….......….….…….………… ",E193)</f>
        <v>F1      OPERATORE SPECIALIZZATO UFFICI ……..……….......….….…….………… Operatore d'Ufficio (par. 156)</v>
      </c>
      <c r="K193" s="197"/>
      <c r="L193" s="197"/>
      <c r="M193" s="197"/>
      <c r="N193" s="197"/>
      <c r="O193" s="197"/>
      <c r="P193" s="147">
        <v>30</v>
      </c>
      <c r="Q193" s="147">
        <v>65</v>
      </c>
      <c r="R193" s="223"/>
      <c r="S193" s="147">
        <v>30</v>
      </c>
      <c r="T193" s="147">
        <v>65</v>
      </c>
      <c r="U193" s="147"/>
    </row>
    <row r="194" spans="1:21" ht="18" customHeight="1" hidden="1" thickBot="1">
      <c r="A194" s="148" t="str">
        <f t="shared" si="13"/>
        <v>F1-OPERATORE SPECIALIZZATO UFFICI-Ex profilo non previsto</v>
      </c>
      <c r="B194" s="147">
        <v>160</v>
      </c>
      <c r="C194" s="208" t="s">
        <v>399</v>
      </c>
      <c r="D194" s="209" t="s">
        <v>471</v>
      </c>
      <c r="E194" s="200" t="s">
        <v>374</v>
      </c>
      <c r="F194" s="210">
        <v>33.57</v>
      </c>
      <c r="G194" s="211">
        <v>38.23330423959469</v>
      </c>
      <c r="H194" s="210">
        <v>69.94</v>
      </c>
      <c r="I194" s="211">
        <v>49.91417310085876</v>
      </c>
      <c r="J194" s="196" t="str">
        <f>CONCATENATE(C194,"      ",D194,"                    ",E194)</f>
        <v>F1      OPERATORE SPECIALIZZATO UFFICI                    Ex profilo non previsto</v>
      </c>
      <c r="K194" s="197"/>
      <c r="L194" s="197"/>
      <c r="M194" s="197"/>
      <c r="N194" s="197"/>
      <c r="O194" s="197"/>
      <c r="P194" s="147">
        <v>30</v>
      </c>
      <c r="Q194" s="147">
        <v>65</v>
      </c>
      <c r="R194" s="223"/>
      <c r="S194" s="147">
        <v>30</v>
      </c>
      <c r="T194" s="147">
        <v>65</v>
      </c>
      <c r="U194" s="147"/>
    </row>
    <row r="195" spans="1:21" ht="18" customHeight="1" hidden="1" thickBot="1">
      <c r="A195" s="148" t="str">
        <f t="shared" si="13"/>
        <v>F2-AUTISTA-Autista (par. 135)</v>
      </c>
      <c r="B195" s="174">
        <v>161</v>
      </c>
      <c r="C195" s="198" t="s">
        <v>400</v>
      </c>
      <c r="D195" s="199" t="s">
        <v>461</v>
      </c>
      <c r="E195" s="205" t="s">
        <v>261</v>
      </c>
      <c r="F195" s="201">
        <v>55.26</v>
      </c>
      <c r="G195" s="202">
        <v>49.6242776059124</v>
      </c>
      <c r="H195" s="201">
        <v>69.94</v>
      </c>
      <c r="I195" s="202">
        <v>6.46</v>
      </c>
      <c r="J195" s="196" t="str">
        <f>CONCATENATE(C195,"      ",D195," …………....……....…….….…….…....….…….….…………….………………… ",E195)</f>
        <v>F2      AUTISTA …………....……....…….….…….…....….…….….…………….………………… Autista (par. 135)</v>
      </c>
      <c r="K195" s="197"/>
      <c r="L195" s="197"/>
      <c r="M195" s="197"/>
      <c r="N195" s="197"/>
      <c r="O195" s="197"/>
      <c r="P195" s="147">
        <v>30</v>
      </c>
      <c r="Q195" s="147">
        <v>65</v>
      </c>
      <c r="R195" s="223"/>
      <c r="S195" s="147">
        <v>30</v>
      </c>
      <c r="T195" s="147">
        <v>65</v>
      </c>
      <c r="U195" s="147"/>
    </row>
    <row r="196" spans="1:21" ht="18" customHeight="1" hidden="1" thickBot="1">
      <c r="A196" s="148" t="str">
        <f t="shared" si="13"/>
        <v>F2-AUTISTA-Autista (par. 142)</v>
      </c>
      <c r="B196" s="147">
        <v>162</v>
      </c>
      <c r="C196" s="198" t="s">
        <v>400</v>
      </c>
      <c r="D196" s="199" t="s">
        <v>461</v>
      </c>
      <c r="E196" s="205" t="s">
        <v>262</v>
      </c>
      <c r="F196" s="201">
        <v>55.26</v>
      </c>
      <c r="G196" s="202">
        <v>49.6242776059124</v>
      </c>
      <c r="H196" s="201">
        <v>69.94</v>
      </c>
      <c r="I196" s="202">
        <v>40.38</v>
      </c>
      <c r="J196" s="196" t="str">
        <f>CONCATENATE(C196,"      ",D196," …………....……....…….….…….…....….…….….…………….………………… ",E196)</f>
        <v>F2      AUTISTA …………....……....…….….…….…....….…….….…………….………………… Autista (par. 142)</v>
      </c>
      <c r="K196" s="197"/>
      <c r="L196" s="197"/>
      <c r="M196" s="197"/>
      <c r="N196" s="197"/>
      <c r="O196" s="197"/>
      <c r="P196" s="147">
        <v>30</v>
      </c>
      <c r="Q196" s="147">
        <v>65</v>
      </c>
      <c r="R196" s="223"/>
      <c r="S196" s="147">
        <v>30</v>
      </c>
      <c r="T196" s="147">
        <v>65</v>
      </c>
      <c r="U196" s="147"/>
    </row>
    <row r="197" spans="1:21" ht="18" customHeight="1" hidden="1" thickBot="1">
      <c r="A197" s="148" t="str">
        <f t="shared" si="13"/>
        <v>F2-CAPO SQUADRA AUSILIARI-Capo Squadra Ausiliari (par. 135)</v>
      </c>
      <c r="B197" s="174">
        <v>163</v>
      </c>
      <c r="C197" s="203" t="s">
        <v>400</v>
      </c>
      <c r="D197" s="204" t="s">
        <v>462</v>
      </c>
      <c r="E197" s="205" t="s">
        <v>263</v>
      </c>
      <c r="F197" s="206">
        <v>52.68</v>
      </c>
      <c r="G197" s="207">
        <v>48.07490690864394</v>
      </c>
      <c r="H197" s="206">
        <v>68.64</v>
      </c>
      <c r="I197" s="207">
        <v>6.46</v>
      </c>
      <c r="J197" s="196" t="str">
        <f>CONCATENATE(C197,"      ",D197,"……..…....……..……..………………………………. ",E197)</f>
        <v>F2      CAPO SQUADRA AUSILIARI……..…....……..……..………………………………. Capo Squadra Ausiliari (par. 135)</v>
      </c>
      <c r="K197" s="197"/>
      <c r="L197" s="197"/>
      <c r="M197" s="197"/>
      <c r="N197" s="197"/>
      <c r="O197" s="197"/>
      <c r="P197" s="147">
        <v>30</v>
      </c>
      <c r="Q197" s="147">
        <v>65</v>
      </c>
      <c r="R197" s="223"/>
      <c r="S197" s="147">
        <v>30</v>
      </c>
      <c r="T197" s="147">
        <v>65</v>
      </c>
      <c r="U197" s="147"/>
    </row>
    <row r="198" spans="1:21" ht="18" customHeight="1" hidden="1" thickBot="1">
      <c r="A198" s="148" t="str">
        <f t="shared" si="13"/>
        <v>F2-CAPO SQUADRA AUSILIARI-Capo Squadra Ausiliari (par. 142)</v>
      </c>
      <c r="B198" s="147">
        <v>164</v>
      </c>
      <c r="C198" s="203" t="s">
        <v>400</v>
      </c>
      <c r="D198" s="204" t="s">
        <v>462</v>
      </c>
      <c r="E198" s="205" t="s">
        <v>264</v>
      </c>
      <c r="F198" s="206">
        <v>52.68</v>
      </c>
      <c r="G198" s="207">
        <v>48.07490690864394</v>
      </c>
      <c r="H198" s="206">
        <v>68.64</v>
      </c>
      <c r="I198" s="207">
        <v>41.38</v>
      </c>
      <c r="J198" s="196" t="str">
        <f>CONCATENATE(C198,"      ",D198,"……..…....……..……..………………………………. ",E198)</f>
        <v>F2      CAPO SQUADRA AUSILIARI……..…....……..……..………………………………. Capo Squadra Ausiliari (par. 142)</v>
      </c>
      <c r="K198" s="197"/>
      <c r="L198" s="197"/>
      <c r="M198" s="197"/>
      <c r="N198" s="197"/>
      <c r="O198" s="197"/>
      <c r="P198" s="147">
        <v>30</v>
      </c>
      <c r="Q198" s="147">
        <v>65</v>
      </c>
      <c r="R198" s="223"/>
      <c r="S198" s="147">
        <v>30</v>
      </c>
      <c r="T198" s="147">
        <v>65</v>
      </c>
      <c r="U198" s="147"/>
    </row>
    <row r="199" spans="1:21" ht="18" customHeight="1" hidden="1" thickBot="1">
      <c r="A199" s="148" t="str">
        <f t="shared" si="13"/>
        <v>F2-INFERMIERE-Ex profilo non previsto</v>
      </c>
      <c r="B199" s="174">
        <v>165</v>
      </c>
      <c r="C199" s="203" t="s">
        <v>400</v>
      </c>
      <c r="D199" s="204" t="s">
        <v>464</v>
      </c>
      <c r="E199" s="200" t="s">
        <v>374</v>
      </c>
      <c r="F199" s="206">
        <v>49.06</v>
      </c>
      <c r="G199" s="207">
        <v>45.905787932468094</v>
      </c>
      <c r="H199" s="206">
        <v>69.94</v>
      </c>
      <c r="I199" s="207">
        <v>40.38</v>
      </c>
      <c r="J199" s="196" t="str">
        <f>CONCATENATE(C199,"      ",D199,"                    ",E199)</f>
        <v>F2      INFERMIERE                    Ex profilo non previsto</v>
      </c>
      <c r="K199" s="197"/>
      <c r="L199" s="197"/>
      <c r="M199" s="197"/>
      <c r="N199" s="197"/>
      <c r="O199" s="197"/>
      <c r="P199" s="147">
        <v>30</v>
      </c>
      <c r="Q199" s="147">
        <v>65</v>
      </c>
      <c r="R199" s="223"/>
      <c r="S199" s="147">
        <v>30</v>
      </c>
      <c r="T199" s="147">
        <v>65</v>
      </c>
      <c r="U199" s="147"/>
    </row>
    <row r="200" spans="1:21" ht="18" customHeight="1" hidden="1" thickBot="1">
      <c r="A200" s="148" t="str">
        <f t="shared" si="13"/>
        <v>F2-INGRASSATORE-Ingrassatore (par. 135)</v>
      </c>
      <c r="B200" s="147">
        <v>166</v>
      </c>
      <c r="C200" s="203" t="s">
        <v>400</v>
      </c>
      <c r="D200" s="204" t="s">
        <v>465</v>
      </c>
      <c r="E200" s="205" t="s">
        <v>265</v>
      </c>
      <c r="F200" s="206">
        <v>144.61</v>
      </c>
      <c r="G200" s="207">
        <v>103.2325037314011</v>
      </c>
      <c r="H200" s="206">
        <v>129.11</v>
      </c>
      <c r="I200" s="207">
        <v>6.46</v>
      </c>
      <c r="J200" s="196" t="str">
        <f>CONCATENATE(C200,"      ",D200,"…….....………………………….……….…...………………………….. ",E200)</f>
        <v>F2      INGRASSATORE…….....………………………….……….…...………………………….. Ingrassatore (par. 135)</v>
      </c>
      <c r="K200" s="197"/>
      <c r="L200" s="197"/>
      <c r="M200" s="197"/>
      <c r="N200" s="197"/>
      <c r="O200" s="197"/>
      <c r="P200" s="147">
        <v>25</v>
      </c>
      <c r="Q200" s="147">
        <v>58</v>
      </c>
      <c r="R200" s="223"/>
      <c r="S200" s="147">
        <v>25</v>
      </c>
      <c r="T200" s="147">
        <v>58</v>
      </c>
      <c r="U200" s="147"/>
    </row>
    <row r="201" spans="1:21" ht="18" customHeight="1" hidden="1" thickBot="1">
      <c r="A201" s="148" t="str">
        <f t="shared" si="13"/>
        <v>F2-INGRASSATORE-Ingrassatore (par. 142)</v>
      </c>
      <c r="B201" s="174">
        <v>167</v>
      </c>
      <c r="C201" s="203" t="s">
        <v>400</v>
      </c>
      <c r="D201" s="204" t="s">
        <v>465</v>
      </c>
      <c r="E201" s="205" t="s">
        <v>266</v>
      </c>
      <c r="F201" s="206">
        <v>144.61</v>
      </c>
      <c r="G201" s="207">
        <v>103.2325037314011</v>
      </c>
      <c r="H201" s="206">
        <v>129.11</v>
      </c>
      <c r="I201" s="207">
        <v>40.38</v>
      </c>
      <c r="J201" s="196" t="str">
        <f>CONCATENATE(C201,"      ",D201,"…….....………………………….……….…...………………………….. ",E201)</f>
        <v>F2      INGRASSATORE…….....………………………….……….…...………………………….. Ingrassatore (par. 142)</v>
      </c>
      <c r="K201" s="197"/>
      <c r="L201" s="197"/>
      <c r="M201" s="197"/>
      <c r="N201" s="197"/>
      <c r="O201" s="197"/>
      <c r="P201" s="147">
        <v>25</v>
      </c>
      <c r="Q201" s="147">
        <v>58</v>
      </c>
      <c r="R201" s="223"/>
      <c r="S201" s="147">
        <v>25</v>
      </c>
      <c r="T201" s="147">
        <v>58</v>
      </c>
      <c r="U201" s="147"/>
    </row>
    <row r="202" spans="1:21" ht="18" customHeight="1" hidden="1" thickBot="1">
      <c r="A202" s="148" t="str">
        <f t="shared" si="13"/>
        <v>F2-MARINAIO-Marinaio (par. 135)</v>
      </c>
      <c r="B202" s="147">
        <v>168</v>
      </c>
      <c r="C202" s="203" t="s">
        <v>400</v>
      </c>
      <c r="D202" s="204" t="s">
        <v>466</v>
      </c>
      <c r="E202" s="205" t="s">
        <v>267</v>
      </c>
      <c r="F202" s="206">
        <v>144.61</v>
      </c>
      <c r="G202" s="207">
        <v>103.2325037314011</v>
      </c>
      <c r="H202" s="206">
        <v>129.11</v>
      </c>
      <c r="I202" s="207">
        <v>6.46</v>
      </c>
      <c r="J202" s="196" t="str">
        <f>CONCATENATE(C202,"      ",D202," …………....……....…….….…….…....…..……….………….………………… ",E202)</f>
        <v>F2      MARINAIO …………....……....…….….…….…....…..……….………….………………… Marinaio (par. 135)</v>
      </c>
      <c r="K202" s="197"/>
      <c r="L202" s="197"/>
      <c r="M202" s="197"/>
      <c r="N202" s="197"/>
      <c r="O202" s="197"/>
      <c r="P202" s="147">
        <v>25</v>
      </c>
      <c r="Q202" s="147">
        <v>58</v>
      </c>
      <c r="R202" s="223"/>
      <c r="S202" s="147">
        <v>25</v>
      </c>
      <c r="T202" s="147">
        <v>58</v>
      </c>
      <c r="U202" s="147"/>
    </row>
    <row r="203" spans="1:21" ht="18" customHeight="1" hidden="1" thickBot="1">
      <c r="A203" s="148" t="str">
        <f t="shared" si="13"/>
        <v>F2-MARINAIO-Marinaio (par. 142)</v>
      </c>
      <c r="B203" s="174">
        <v>169</v>
      </c>
      <c r="C203" s="203" t="s">
        <v>400</v>
      </c>
      <c r="D203" s="204" t="s">
        <v>466</v>
      </c>
      <c r="E203" s="205" t="s">
        <v>268</v>
      </c>
      <c r="F203" s="206">
        <v>144.61</v>
      </c>
      <c r="G203" s="207">
        <v>103.2325037314011</v>
      </c>
      <c r="H203" s="222">
        <v>129.11</v>
      </c>
      <c r="I203" s="207">
        <v>40.38</v>
      </c>
      <c r="J203" s="196" t="str">
        <f>CONCATENATE(C203,"      ",D203," …………....……....…….….…….…....…..……….………….………………… ",E203)</f>
        <v>F2      MARINAIO …………....……....…….….…….…....…..……….………….………………… Marinaio (par. 142)</v>
      </c>
      <c r="K203" s="197"/>
      <c r="L203" s="197"/>
      <c r="M203" s="197"/>
      <c r="N203" s="197"/>
      <c r="O203" s="197"/>
      <c r="P203" s="147">
        <v>25</v>
      </c>
      <c r="Q203" s="147">
        <v>58</v>
      </c>
      <c r="R203" s="223"/>
      <c r="S203" s="147">
        <v>25</v>
      </c>
      <c r="T203" s="147">
        <v>58</v>
      </c>
      <c r="U203" s="147"/>
    </row>
    <row r="204" spans="1:21" ht="18" customHeight="1" hidden="1" thickBot="1">
      <c r="A204" s="148" t="str">
        <f t="shared" si="13"/>
        <v>F2-OERATORE SPECIALIZZATO DI BORDO-Conduttore (par. 135)</v>
      </c>
      <c r="B204" s="147">
        <v>170</v>
      </c>
      <c r="C204" s="203" t="s">
        <v>400</v>
      </c>
      <c r="D204" s="204" t="s">
        <v>467</v>
      </c>
      <c r="E204" s="205" t="s">
        <v>269</v>
      </c>
      <c r="F204" s="206">
        <v>90.38</v>
      </c>
      <c r="G204" s="207">
        <v>70.69571908876345</v>
      </c>
      <c r="H204" s="206">
        <v>86.25</v>
      </c>
      <c r="I204" s="207">
        <v>6.46</v>
      </c>
      <c r="J204" s="196" t="str">
        <f>CONCATENATE(C204,"      ",D204," ….…..........…..…..…….………… ",E204)</f>
        <v>F2      OERATORE SPECIALIZZATO DI BORDO ….…..........…..…..…….………… Conduttore (par. 135)</v>
      </c>
      <c r="K204" s="197"/>
      <c r="L204" s="197"/>
      <c r="M204" s="197"/>
      <c r="N204" s="197"/>
      <c r="O204" s="197"/>
      <c r="P204" s="147">
        <v>25</v>
      </c>
      <c r="Q204" s="147">
        <v>58</v>
      </c>
      <c r="R204" s="223"/>
      <c r="S204" s="147">
        <v>25</v>
      </c>
      <c r="T204" s="147">
        <v>58</v>
      </c>
      <c r="U204" s="147"/>
    </row>
    <row r="205" spans="1:21" ht="18" customHeight="1" hidden="1" thickBot="1">
      <c r="A205" s="148" t="str">
        <f t="shared" si="13"/>
        <v>F2-OERATORE SPECIALIZZATO DI BORDO-Conduttore (par. 142)</v>
      </c>
      <c r="B205" s="174">
        <v>171</v>
      </c>
      <c r="C205" s="203" t="s">
        <v>400</v>
      </c>
      <c r="D205" s="204" t="s">
        <v>467</v>
      </c>
      <c r="E205" s="205" t="s">
        <v>270</v>
      </c>
      <c r="F205" s="206">
        <v>90.38</v>
      </c>
      <c r="G205" s="207">
        <v>70.69571908876345</v>
      </c>
      <c r="H205" s="206">
        <v>86.25</v>
      </c>
      <c r="I205" s="207">
        <v>40.38</v>
      </c>
      <c r="J205" s="196" t="str">
        <f>CONCATENATE(C205,"      ",D205," ….…..........…..…..…….………… ",E205)</f>
        <v>F2      OERATORE SPECIALIZZATO DI BORDO ….…..........…..…..…….………… Conduttore (par. 142)</v>
      </c>
      <c r="K205" s="197"/>
      <c r="L205" s="197"/>
      <c r="M205" s="197"/>
      <c r="N205" s="197"/>
      <c r="O205" s="197"/>
      <c r="P205" s="147">
        <v>25</v>
      </c>
      <c r="Q205" s="147">
        <v>58</v>
      </c>
      <c r="R205" s="223"/>
      <c r="S205" s="147">
        <v>25</v>
      </c>
      <c r="T205" s="147">
        <v>58</v>
      </c>
      <c r="U205" s="147"/>
    </row>
    <row r="206" spans="1:21" ht="18" customHeight="1" hidden="1" thickBot="1">
      <c r="A206" s="148" t="str">
        <f t="shared" si="13"/>
        <v>F2-OERATORE SPECIALIZZATO DI BORDO-Ex profilo non previsto</v>
      </c>
      <c r="B206" s="147">
        <v>172</v>
      </c>
      <c r="C206" s="203" t="s">
        <v>400</v>
      </c>
      <c r="D206" s="204" t="s">
        <v>467</v>
      </c>
      <c r="E206" s="200" t="s">
        <v>374</v>
      </c>
      <c r="F206" s="206">
        <v>90.38</v>
      </c>
      <c r="G206" s="207">
        <v>70.69571908876345</v>
      </c>
      <c r="H206" s="206">
        <v>86.25</v>
      </c>
      <c r="I206" s="207">
        <v>40.38</v>
      </c>
      <c r="J206" s="196" t="str">
        <f>CONCATENATE(C206,"      ",D206,"                    ",E206)</f>
        <v>F2      OERATORE SPECIALIZZATO DI BORDO                    Ex profilo non previsto</v>
      </c>
      <c r="K206" s="197"/>
      <c r="L206" s="197"/>
      <c r="M206" s="197"/>
      <c r="N206" s="197"/>
      <c r="O206" s="197"/>
      <c r="P206" s="147">
        <v>30</v>
      </c>
      <c r="Q206" s="147">
        <v>65</v>
      </c>
      <c r="R206" s="223"/>
      <c r="S206" s="147">
        <v>30</v>
      </c>
      <c r="T206" s="147">
        <v>65</v>
      </c>
      <c r="U206" s="147"/>
    </row>
    <row r="207" spans="1:21" ht="18" customHeight="1" hidden="1" thickBot="1">
      <c r="A207" s="148" t="str">
        <f t="shared" si="13"/>
        <v>F2-OPERATORE SANITARIO SPECIALIZZATO-Operatore Sanitario (par. 135)</v>
      </c>
      <c r="B207" s="174">
        <v>173</v>
      </c>
      <c r="C207" s="203" t="s">
        <v>400</v>
      </c>
      <c r="D207" s="199" t="s">
        <v>468</v>
      </c>
      <c r="E207" s="205" t="s">
        <v>271</v>
      </c>
      <c r="F207" s="206">
        <v>49.06</v>
      </c>
      <c r="G207" s="207">
        <v>45.905787932468094</v>
      </c>
      <c r="H207" s="206">
        <v>69.94</v>
      </c>
      <c r="I207" s="207">
        <v>6.46</v>
      </c>
      <c r="J207" s="196" t="str">
        <f>CONCATENATE(C207,"      ",D207," …..…….…...….…….………… ",E207)</f>
        <v>F2      OPERATORE SANITARIO SPECIALIZZATO …..…….…...….…….………… Operatore Sanitario (par. 135)</v>
      </c>
      <c r="K207" s="197"/>
      <c r="L207" s="197"/>
      <c r="M207" s="197"/>
      <c r="N207" s="197"/>
      <c r="O207" s="197"/>
      <c r="P207" s="147">
        <v>30</v>
      </c>
      <c r="Q207" s="147">
        <v>65</v>
      </c>
      <c r="R207" s="223"/>
      <c r="S207" s="147">
        <v>30</v>
      </c>
      <c r="T207" s="147">
        <v>65</v>
      </c>
      <c r="U207" s="147"/>
    </row>
    <row r="208" spans="1:21" ht="18" customHeight="1" hidden="1" thickBot="1">
      <c r="A208" s="148" t="str">
        <f t="shared" si="13"/>
        <v>F2-OPERATORE SANITARIO SPECIALIZZATO-Operatore Sanitario (par. 142)</v>
      </c>
      <c r="B208" s="147">
        <v>174</v>
      </c>
      <c r="C208" s="203" t="s">
        <v>400</v>
      </c>
      <c r="D208" s="199" t="s">
        <v>468</v>
      </c>
      <c r="E208" s="205" t="s">
        <v>272</v>
      </c>
      <c r="F208" s="206">
        <v>49.06</v>
      </c>
      <c r="G208" s="207">
        <v>45.905787932468094</v>
      </c>
      <c r="H208" s="206">
        <v>69.94</v>
      </c>
      <c r="I208" s="207">
        <v>40.38</v>
      </c>
      <c r="J208" s="196" t="str">
        <f>CONCATENATE(C208,"      ",D208," …..…….…...….…….………… ",E208)</f>
        <v>F2      OPERATORE SANITARIO SPECIALIZZATO …..…….…...….…….………… Operatore Sanitario (par. 142)</v>
      </c>
      <c r="K208" s="197"/>
      <c r="L208" s="197"/>
      <c r="M208" s="197"/>
      <c r="N208" s="197"/>
      <c r="O208" s="197"/>
      <c r="P208" s="147">
        <v>30</v>
      </c>
      <c r="Q208" s="147">
        <v>65</v>
      </c>
      <c r="R208" s="223"/>
      <c r="S208" s="147">
        <v>30</v>
      </c>
      <c r="T208" s="147">
        <v>65</v>
      </c>
      <c r="U208" s="147"/>
    </row>
    <row r="209" spans="1:21" ht="18" customHeight="1" hidden="1" thickBot="1">
      <c r="A209" s="148" t="str">
        <f t="shared" si="13"/>
        <v>F2-OPERATORE SANITARIO SPECIALIZZATO-Ex profilo non previsto</v>
      </c>
      <c r="B209" s="174">
        <v>175</v>
      </c>
      <c r="C209" s="203" t="s">
        <v>400</v>
      </c>
      <c r="D209" s="199" t="s">
        <v>468</v>
      </c>
      <c r="E209" s="200" t="s">
        <v>374</v>
      </c>
      <c r="F209" s="201">
        <v>49.06</v>
      </c>
      <c r="G209" s="202">
        <v>45.905787932468094</v>
      </c>
      <c r="H209" s="224">
        <v>69.94</v>
      </c>
      <c r="I209" s="202">
        <v>40.38</v>
      </c>
      <c r="J209" s="196" t="str">
        <f>CONCATENATE(C209,"      ",D209,"                    ",E209)</f>
        <v>F2      OPERATORE SANITARIO SPECIALIZZATO                    Ex profilo non previsto</v>
      </c>
      <c r="K209" s="197"/>
      <c r="L209" s="197"/>
      <c r="M209" s="197"/>
      <c r="N209" s="197"/>
      <c r="O209" s="197"/>
      <c r="P209" s="147">
        <v>30</v>
      </c>
      <c r="Q209" s="147">
        <v>65</v>
      </c>
      <c r="R209" s="223"/>
      <c r="S209" s="147">
        <v>30</v>
      </c>
      <c r="T209" s="147">
        <v>65</v>
      </c>
      <c r="U209" s="147"/>
    </row>
    <row r="210" spans="1:21" ht="18" customHeight="1" hidden="1" thickBot="1">
      <c r="A210" s="148" t="str">
        <f t="shared" si="13"/>
        <v>F2-OPERATORE SPECIALIZZATO CIRCOLAZIONE-Assistente di Stazione(par. 135)</v>
      </c>
      <c r="B210" s="147">
        <v>176</v>
      </c>
      <c r="C210" s="203" t="s">
        <v>400</v>
      </c>
      <c r="D210" s="204" t="s">
        <v>470</v>
      </c>
      <c r="E210" s="205" t="s">
        <v>273</v>
      </c>
      <c r="F210" s="206">
        <v>51.65</v>
      </c>
      <c r="G210" s="207">
        <v>47.45515862973656</v>
      </c>
      <c r="H210" s="206">
        <v>107.73</v>
      </c>
      <c r="I210" s="207">
        <v>6.46</v>
      </c>
      <c r="J210" s="196" t="str">
        <f>CONCATENATE(C210,"      ",D210," ..….....….…….………… ",E210)</f>
        <v>F2      OPERATORE SPECIALIZZATO CIRCOLAZIONE ..….....….…….………… Assistente di Stazione(par. 135)</v>
      </c>
      <c r="K210" s="197"/>
      <c r="L210" s="197"/>
      <c r="M210" s="197"/>
      <c r="N210" s="197"/>
      <c r="O210" s="197"/>
      <c r="P210" s="147">
        <v>30</v>
      </c>
      <c r="Q210" s="147">
        <v>65</v>
      </c>
      <c r="R210" s="223"/>
      <c r="S210" s="147">
        <v>30</v>
      </c>
      <c r="T210" s="147">
        <v>65</v>
      </c>
      <c r="U210" s="147"/>
    </row>
    <row r="211" spans="1:21" ht="18" customHeight="1" hidden="1" thickBot="1">
      <c r="A211" s="148" t="str">
        <f t="shared" si="13"/>
        <v>F2-OPERATORE SPECIALIZZATO CIRCOLAZIONE-Assistente di Stazione(par. 142)</v>
      </c>
      <c r="B211" s="174">
        <v>177</v>
      </c>
      <c r="C211" s="203" t="s">
        <v>400</v>
      </c>
      <c r="D211" s="204" t="s">
        <v>470</v>
      </c>
      <c r="E211" s="205" t="s">
        <v>274</v>
      </c>
      <c r="F211" s="206">
        <v>51.65</v>
      </c>
      <c r="G211" s="207">
        <v>47.45515862973656</v>
      </c>
      <c r="H211" s="206">
        <v>107.73</v>
      </c>
      <c r="I211" s="207">
        <v>40.38</v>
      </c>
      <c r="J211" s="196" t="str">
        <f aca="true" t="shared" si="16" ref="J211:J217">CONCATENATE(C211,"      ",D211," ..….....….…….………… ",E211)</f>
        <v>F2      OPERATORE SPECIALIZZATO CIRCOLAZIONE ..….....….…….………… Assistente di Stazione(par. 142)</v>
      </c>
      <c r="K211" s="197"/>
      <c r="L211" s="197"/>
      <c r="M211" s="197"/>
      <c r="N211" s="197"/>
      <c r="O211" s="197"/>
      <c r="P211" s="147">
        <v>30</v>
      </c>
      <c r="Q211" s="147">
        <v>65</v>
      </c>
      <c r="R211" s="223"/>
      <c r="S211" s="147">
        <v>30</v>
      </c>
      <c r="T211" s="147">
        <v>65</v>
      </c>
      <c r="U211" s="147"/>
    </row>
    <row r="212" spans="1:21" ht="18" customHeight="1" hidden="1" thickBot="1">
      <c r="A212" s="148" t="str">
        <f t="shared" si="13"/>
        <v>F2-OPERATORE SPECIALIZZATO CIRCOLAZIONE-Deviatore (par. 135) </v>
      </c>
      <c r="B212" s="147">
        <v>178</v>
      </c>
      <c r="C212" s="203" t="s">
        <v>400</v>
      </c>
      <c r="D212" s="204" t="s">
        <v>470</v>
      </c>
      <c r="E212" s="205" t="s">
        <v>275</v>
      </c>
      <c r="F212" s="206">
        <v>59.39</v>
      </c>
      <c r="G212" s="207">
        <v>52.10327072154193</v>
      </c>
      <c r="H212" s="206">
        <v>107.73</v>
      </c>
      <c r="I212" s="207">
        <v>6.46</v>
      </c>
      <c r="J212" s="196" t="str">
        <f t="shared" si="16"/>
        <v>F2      OPERATORE SPECIALIZZATO CIRCOLAZIONE ..….....….…….………… Deviatore (par. 135) </v>
      </c>
      <c r="K212" s="197"/>
      <c r="L212" s="197"/>
      <c r="M212" s="197"/>
      <c r="N212" s="197"/>
      <c r="O212" s="197"/>
      <c r="P212" s="147">
        <v>25</v>
      </c>
      <c r="Q212" s="147">
        <v>65</v>
      </c>
      <c r="R212" s="223"/>
      <c r="S212" s="147">
        <v>25</v>
      </c>
      <c r="T212" s="147">
        <v>65</v>
      </c>
      <c r="U212" s="147"/>
    </row>
    <row r="213" spans="1:21" ht="18" customHeight="1" hidden="1" thickBot="1">
      <c r="A213" s="148" t="str">
        <f t="shared" si="13"/>
        <v>F2-OPERATORE SPECIALIZZATO CIRCOLAZIONE-Deviatore (par. 142)</v>
      </c>
      <c r="B213" s="174">
        <v>179</v>
      </c>
      <c r="C213" s="203" t="s">
        <v>400</v>
      </c>
      <c r="D213" s="204" t="s">
        <v>470</v>
      </c>
      <c r="E213" s="205" t="s">
        <v>276</v>
      </c>
      <c r="F213" s="206">
        <v>59.39</v>
      </c>
      <c r="G213" s="207">
        <v>52.10327072154193</v>
      </c>
      <c r="H213" s="206">
        <v>107.73</v>
      </c>
      <c r="I213" s="207">
        <v>40.38</v>
      </c>
      <c r="J213" s="196" t="str">
        <f t="shared" si="16"/>
        <v>F2      OPERATORE SPECIALIZZATO CIRCOLAZIONE ..….....….…….………… Deviatore (par. 142)</v>
      </c>
      <c r="K213" s="197"/>
      <c r="L213" s="197"/>
      <c r="M213" s="197"/>
      <c r="N213" s="197"/>
      <c r="O213" s="197"/>
      <c r="P213" s="147">
        <v>25</v>
      </c>
      <c r="Q213" s="147">
        <v>65</v>
      </c>
      <c r="R213" s="223"/>
      <c r="S213" s="147">
        <v>25</v>
      </c>
      <c r="T213" s="147">
        <v>65</v>
      </c>
      <c r="U213" s="147"/>
    </row>
    <row r="214" spans="1:21" ht="18" customHeight="1" hidden="1" thickBot="1">
      <c r="A214" s="148" t="str">
        <f t="shared" si="13"/>
        <v>F2-OPERATORE SPECIALIZZATO CIRCOLAZIONE-Operatore della Circolazione (par. 135)</v>
      </c>
      <c r="B214" s="147">
        <v>180</v>
      </c>
      <c r="C214" s="203" t="s">
        <v>400</v>
      </c>
      <c r="D214" s="204" t="s">
        <v>470</v>
      </c>
      <c r="E214" s="205" t="s">
        <v>277</v>
      </c>
      <c r="F214" s="206">
        <v>60.94</v>
      </c>
      <c r="G214" s="207">
        <v>53.03289313990301</v>
      </c>
      <c r="H214" s="206">
        <v>107.73</v>
      </c>
      <c r="I214" s="207">
        <v>6.46</v>
      </c>
      <c r="J214" s="196" t="str">
        <f t="shared" si="16"/>
        <v>F2      OPERATORE SPECIALIZZATO CIRCOLAZIONE ..….....….…….………… Operatore della Circolazione (par. 135)</v>
      </c>
      <c r="K214" s="197"/>
      <c r="L214" s="197"/>
      <c r="M214" s="197"/>
      <c r="N214" s="197"/>
      <c r="O214" s="197"/>
      <c r="P214" s="147">
        <v>30</v>
      </c>
      <c r="Q214" s="147">
        <v>65</v>
      </c>
      <c r="R214" s="223"/>
      <c r="S214" s="147">
        <v>30</v>
      </c>
      <c r="T214" s="147">
        <v>65</v>
      </c>
      <c r="U214" s="147"/>
    </row>
    <row r="215" spans="1:21" ht="18" customHeight="1" hidden="1" thickBot="1">
      <c r="A215" s="148" t="str">
        <f t="shared" si="13"/>
        <v>F2-OPERATORE SPECIALIZZATO CIRCOLAZIONE-Operatore della Circolazione (par. 142)</v>
      </c>
      <c r="B215" s="174">
        <v>181</v>
      </c>
      <c r="C215" s="203" t="s">
        <v>400</v>
      </c>
      <c r="D215" s="204" t="s">
        <v>470</v>
      </c>
      <c r="E215" s="205" t="s">
        <v>278</v>
      </c>
      <c r="F215" s="206">
        <v>60.94</v>
      </c>
      <c r="G215" s="207">
        <v>53.03289313990301</v>
      </c>
      <c r="H215" s="206">
        <v>107.73</v>
      </c>
      <c r="I215" s="207">
        <v>40.38</v>
      </c>
      <c r="J215" s="196" t="str">
        <f t="shared" si="16"/>
        <v>F2      OPERATORE SPECIALIZZATO CIRCOLAZIONE ..….....….…….………… Operatore della Circolazione (par. 142)</v>
      </c>
      <c r="K215" s="197"/>
      <c r="L215" s="197"/>
      <c r="M215" s="197"/>
      <c r="N215" s="197"/>
      <c r="O215" s="197"/>
      <c r="P215" s="147">
        <v>30</v>
      </c>
      <c r="Q215" s="147">
        <v>65</v>
      </c>
      <c r="R215" s="223"/>
      <c r="S215" s="147">
        <v>30</v>
      </c>
      <c r="T215" s="147">
        <v>65</v>
      </c>
      <c r="U215" s="147"/>
    </row>
    <row r="216" spans="1:21" ht="18" customHeight="1" hidden="1" thickBot="1">
      <c r="A216" s="148" t="str">
        <f t="shared" si="13"/>
        <v>F2-OPERATORE SPECIALIZZATO CIRCOLAZIONE-Manovratore (par. 135)</v>
      </c>
      <c r="B216" s="147">
        <v>182</v>
      </c>
      <c r="C216" s="203" t="s">
        <v>400</v>
      </c>
      <c r="D216" s="204" t="s">
        <v>470</v>
      </c>
      <c r="E216" s="205" t="s">
        <v>279</v>
      </c>
      <c r="F216" s="206">
        <v>61.46</v>
      </c>
      <c r="G216" s="207">
        <v>53.3427672793567</v>
      </c>
      <c r="H216" s="206">
        <v>107.73</v>
      </c>
      <c r="I216" s="207">
        <v>6.46</v>
      </c>
      <c r="J216" s="196" t="str">
        <f t="shared" si="16"/>
        <v>F2      OPERATORE SPECIALIZZATO CIRCOLAZIONE ..….....….…….………… Manovratore (par. 135)</v>
      </c>
      <c r="K216" s="197"/>
      <c r="L216" s="197"/>
      <c r="M216" s="197"/>
      <c r="N216" s="197"/>
      <c r="O216" s="197"/>
      <c r="P216" s="147">
        <v>25</v>
      </c>
      <c r="Q216" s="147">
        <v>58</v>
      </c>
      <c r="R216" s="223"/>
      <c r="S216" s="147">
        <v>25</v>
      </c>
      <c r="T216" s="147">
        <v>58</v>
      </c>
      <c r="U216" s="147"/>
    </row>
    <row r="217" spans="1:21" ht="18" customHeight="1" hidden="1" thickBot="1">
      <c r="A217" s="148" t="str">
        <f t="shared" si="13"/>
        <v>F2-OPERATORE SPECIALIZZATO CIRCOLAZIONE-Manovratore (par. 142)</v>
      </c>
      <c r="B217" s="174">
        <v>183</v>
      </c>
      <c r="C217" s="203" t="s">
        <v>400</v>
      </c>
      <c r="D217" s="204" t="s">
        <v>470</v>
      </c>
      <c r="E217" s="205" t="s">
        <v>280</v>
      </c>
      <c r="F217" s="206">
        <v>61.46</v>
      </c>
      <c r="G217" s="207">
        <v>53.3427672793567</v>
      </c>
      <c r="H217" s="206">
        <v>107.73</v>
      </c>
      <c r="I217" s="207">
        <v>40.38</v>
      </c>
      <c r="J217" s="196" t="str">
        <f t="shared" si="16"/>
        <v>F2      OPERATORE SPECIALIZZATO CIRCOLAZIONE ..….....….…….………… Manovratore (par. 142)</v>
      </c>
      <c r="K217" s="197"/>
      <c r="L217" s="197"/>
      <c r="M217" s="197"/>
      <c r="N217" s="197"/>
      <c r="O217" s="197"/>
      <c r="P217" s="147">
        <v>25</v>
      </c>
      <c r="Q217" s="147">
        <v>58</v>
      </c>
      <c r="R217" s="223"/>
      <c r="S217" s="147">
        <v>25</v>
      </c>
      <c r="T217" s="147">
        <v>58</v>
      </c>
      <c r="U217" s="147"/>
    </row>
    <row r="218" spans="1:21" ht="18" customHeight="1" hidden="1" thickBot="1">
      <c r="A218" s="148" t="str">
        <f t="shared" si="13"/>
        <v>F2-OPERATORE SPECIALIZZATO CIRCOLAZIONE-Ex profilo non previsto</v>
      </c>
      <c r="B218" s="147">
        <v>184</v>
      </c>
      <c r="C218" s="203" t="s">
        <v>400</v>
      </c>
      <c r="D218" s="204" t="s">
        <v>470</v>
      </c>
      <c r="E218" s="200" t="s">
        <v>374</v>
      </c>
      <c r="F218" s="206">
        <v>60.94</v>
      </c>
      <c r="G218" s="207">
        <v>53.03289313990301</v>
      </c>
      <c r="H218" s="206">
        <v>107.73</v>
      </c>
      <c r="I218" s="207">
        <v>40.38</v>
      </c>
      <c r="J218" s="196" t="str">
        <f>CONCATENATE(C218,"      ",D218,"                    ",E218)</f>
        <v>F2      OPERATORE SPECIALIZZATO CIRCOLAZIONE                    Ex profilo non previsto</v>
      </c>
      <c r="K218" s="197"/>
      <c r="L218" s="197"/>
      <c r="M218" s="197"/>
      <c r="N218" s="197"/>
      <c r="O218" s="197"/>
      <c r="P218" s="147">
        <v>30</v>
      </c>
      <c r="Q218" s="147">
        <v>65</v>
      </c>
      <c r="R218" s="223"/>
      <c r="S218" s="147">
        <v>30</v>
      </c>
      <c r="T218" s="147">
        <v>65</v>
      </c>
      <c r="U218" s="147"/>
    </row>
    <row r="219" spans="1:21" ht="18" customHeight="1" hidden="1" thickBot="1">
      <c r="A219" s="148" t="str">
        <f t="shared" si="13"/>
        <v>F2-OPERATORE SPEC.TO MANUTENZIONE-Operaio Qualificato (par. 135)</v>
      </c>
      <c r="B219" s="174">
        <v>185</v>
      </c>
      <c r="C219" s="203" t="s">
        <v>400</v>
      </c>
      <c r="D219" s="199" t="s">
        <v>469</v>
      </c>
      <c r="E219" s="205" t="s">
        <v>281</v>
      </c>
      <c r="F219" s="206">
        <v>53.2</v>
      </c>
      <c r="G219" s="207">
        <v>48.38478104809763</v>
      </c>
      <c r="H219" s="206">
        <v>104.21</v>
      </c>
      <c r="I219" s="207">
        <v>6.46</v>
      </c>
      <c r="J219" s="196" t="str">
        <f>CONCATENATE(C219,"      ",D219," ………….....….….…….………… ",E219)</f>
        <v>F2      OPERATORE SPEC.TO MANUTENZIONE ………….....….….…….………… Operaio Qualificato (par. 135)</v>
      </c>
      <c r="K219" s="197"/>
      <c r="L219" s="197"/>
      <c r="M219" s="197"/>
      <c r="N219" s="197"/>
      <c r="O219" s="197"/>
      <c r="P219" s="147">
        <v>25</v>
      </c>
      <c r="Q219" s="147">
        <v>65</v>
      </c>
      <c r="R219" s="223"/>
      <c r="S219" s="147">
        <v>25</v>
      </c>
      <c r="T219" s="147">
        <v>65</v>
      </c>
      <c r="U219" s="147"/>
    </row>
    <row r="220" spans="1:21" ht="18" customHeight="1" hidden="1" thickBot="1">
      <c r="A220" s="148" t="str">
        <f t="shared" si="13"/>
        <v>F2-OPERATORE SPEC.TO MANUTENZIONE-Operaio Qualificato (par. 142)</v>
      </c>
      <c r="B220" s="147">
        <v>186</v>
      </c>
      <c r="C220" s="203" t="s">
        <v>400</v>
      </c>
      <c r="D220" s="199" t="s">
        <v>469</v>
      </c>
      <c r="E220" s="205" t="s">
        <v>282</v>
      </c>
      <c r="F220" s="206">
        <v>53.2</v>
      </c>
      <c r="G220" s="207">
        <v>48.38478104809763</v>
      </c>
      <c r="H220" s="206">
        <v>104.21</v>
      </c>
      <c r="I220" s="207">
        <v>40.38</v>
      </c>
      <c r="J220" s="196" t="str">
        <f aca="true" t="shared" si="17" ref="J220:J230">CONCATENATE(C220,"      ",D220," ………….....….….…….………… ",E220)</f>
        <v>F2      OPERATORE SPEC.TO MANUTENZIONE ………….....….….…….………… Operaio Qualificato (par. 142)</v>
      </c>
      <c r="K220" s="197"/>
      <c r="L220" s="197"/>
      <c r="M220" s="197"/>
      <c r="N220" s="197"/>
      <c r="O220" s="197"/>
      <c r="P220" s="147">
        <v>25</v>
      </c>
      <c r="Q220" s="147">
        <v>65</v>
      </c>
      <c r="R220" s="223"/>
      <c r="S220" s="147">
        <v>25</v>
      </c>
      <c r="T220" s="147">
        <v>65</v>
      </c>
      <c r="U220" s="147"/>
    </row>
    <row r="221" spans="1:21" ht="18" customHeight="1" hidden="1" thickBot="1">
      <c r="A221" s="148" t="str">
        <f t="shared" si="13"/>
        <v>F2-OPERATORE SPEC.TO MANUTENZIONE-Operatore della Manutenzione (par. 135)</v>
      </c>
      <c r="B221" s="174">
        <v>187</v>
      </c>
      <c r="C221" s="203" t="s">
        <v>400</v>
      </c>
      <c r="D221" s="199" t="s">
        <v>469</v>
      </c>
      <c r="E221" s="205" t="s">
        <v>283</v>
      </c>
      <c r="F221" s="206">
        <v>48.03</v>
      </c>
      <c r="G221" s="207">
        <v>45.286039653560714</v>
      </c>
      <c r="H221" s="225">
        <v>79.08</v>
      </c>
      <c r="I221" s="207">
        <v>6.46</v>
      </c>
      <c r="J221" s="196" t="str">
        <f t="shared" si="17"/>
        <v>F2      OPERATORE SPEC.TO MANUTENZIONE ………….....….….…….………… Operatore della Manutenzione (par. 135)</v>
      </c>
      <c r="K221" s="197"/>
      <c r="L221" s="197"/>
      <c r="M221" s="197"/>
      <c r="N221" s="197"/>
      <c r="O221" s="197"/>
      <c r="P221" s="147">
        <v>25</v>
      </c>
      <c r="Q221" s="147">
        <v>65</v>
      </c>
      <c r="R221" s="223"/>
      <c r="S221" s="147">
        <v>25</v>
      </c>
      <c r="T221" s="147">
        <v>65</v>
      </c>
      <c r="U221" s="147"/>
    </row>
    <row r="222" spans="1:21" ht="18" customHeight="1" hidden="1" thickBot="1">
      <c r="A222" s="148" t="str">
        <f t="shared" si="13"/>
        <v>F2-OPERATORE SPEC.TO MANUTENZIONE-Operatore della Manutenzione (par. 142)</v>
      </c>
      <c r="B222" s="147">
        <v>188</v>
      </c>
      <c r="C222" s="203" t="s">
        <v>400</v>
      </c>
      <c r="D222" s="199" t="s">
        <v>469</v>
      </c>
      <c r="E222" s="205" t="s">
        <v>284</v>
      </c>
      <c r="F222" s="206">
        <v>48.03</v>
      </c>
      <c r="G222" s="207">
        <v>45.286039653560714</v>
      </c>
      <c r="H222" s="225">
        <v>79.08</v>
      </c>
      <c r="I222" s="207">
        <v>40.38</v>
      </c>
      <c r="J222" s="196" t="str">
        <f t="shared" si="17"/>
        <v>F2      OPERATORE SPEC.TO MANUTENZIONE ………….....….….…….………… Operatore della Manutenzione (par. 142)</v>
      </c>
      <c r="K222" s="197"/>
      <c r="L222" s="197"/>
      <c r="M222" s="197"/>
      <c r="N222" s="197"/>
      <c r="O222" s="197"/>
      <c r="P222" s="147">
        <v>25</v>
      </c>
      <c r="Q222" s="147">
        <v>65</v>
      </c>
      <c r="R222" s="223"/>
      <c r="S222" s="147">
        <v>25</v>
      </c>
      <c r="T222" s="147">
        <v>65</v>
      </c>
      <c r="U222" s="147"/>
    </row>
    <row r="223" spans="1:21" ht="18" customHeight="1" hidden="1" thickBot="1">
      <c r="A223" s="148" t="str">
        <f t="shared" si="13"/>
        <v>F2-OPERATORE SPEC.TO MANUTENZIONE-Assistente di Magazzino (par. 135)</v>
      </c>
      <c r="B223" s="174">
        <v>189</v>
      </c>
      <c r="C223" s="203" t="s">
        <v>400</v>
      </c>
      <c r="D223" s="199" t="s">
        <v>469</v>
      </c>
      <c r="E223" s="205" t="s">
        <v>285</v>
      </c>
      <c r="F223" s="206">
        <v>26.86</v>
      </c>
      <c r="G223" s="207">
        <v>32.58119993595935</v>
      </c>
      <c r="H223" s="206">
        <v>104.21</v>
      </c>
      <c r="I223" s="207">
        <v>6.46</v>
      </c>
      <c r="J223" s="196" t="str">
        <f t="shared" si="17"/>
        <v>F2      OPERATORE SPEC.TO MANUTENZIONE ………….....….….…….………… Assistente di Magazzino (par. 135)</v>
      </c>
      <c r="K223" s="197"/>
      <c r="L223" s="197"/>
      <c r="M223" s="197"/>
      <c r="N223" s="197"/>
      <c r="O223" s="197"/>
      <c r="P223" s="147">
        <v>25</v>
      </c>
      <c r="Q223" s="147">
        <v>65</v>
      </c>
      <c r="R223" s="223"/>
      <c r="S223" s="147">
        <v>25</v>
      </c>
      <c r="T223" s="147">
        <v>65</v>
      </c>
      <c r="U223" s="147"/>
    </row>
    <row r="224" spans="1:21" ht="18" customHeight="1" hidden="1" thickBot="1">
      <c r="A224" s="148" t="str">
        <f t="shared" si="13"/>
        <v>F2-OPERATORE SPEC.TO MANUTENZIONE-Assistente di Magazzino (par. 142)</v>
      </c>
      <c r="B224" s="147">
        <v>190</v>
      </c>
      <c r="C224" s="203" t="s">
        <v>400</v>
      </c>
      <c r="D224" s="199" t="s">
        <v>469</v>
      </c>
      <c r="E224" s="205" t="s">
        <v>286</v>
      </c>
      <c r="F224" s="206">
        <v>26.86</v>
      </c>
      <c r="G224" s="207">
        <v>32.58119993595935</v>
      </c>
      <c r="H224" s="206">
        <v>104.21</v>
      </c>
      <c r="I224" s="207">
        <v>40.38</v>
      </c>
      <c r="J224" s="196" t="str">
        <f t="shared" si="17"/>
        <v>F2      OPERATORE SPEC.TO MANUTENZIONE ………….....….….…….………… Assistente di Magazzino (par. 142)</v>
      </c>
      <c r="K224" s="197"/>
      <c r="L224" s="197"/>
      <c r="M224" s="197"/>
      <c r="N224" s="197"/>
      <c r="O224" s="197"/>
      <c r="P224" s="147">
        <v>25</v>
      </c>
      <c r="Q224" s="147">
        <v>65</v>
      </c>
      <c r="R224" s="223"/>
      <c r="S224" s="147">
        <v>25</v>
      </c>
      <c r="T224" s="147">
        <v>65</v>
      </c>
      <c r="U224" s="147"/>
    </row>
    <row r="225" spans="1:21" ht="18" customHeight="1" hidden="1" thickBot="1">
      <c r="A225" s="148" t="str">
        <f t="shared" si="13"/>
        <v>F2-OPERATORE SPEC.TO MANUTENZIONE-Assistente di Deposito (par. 135)</v>
      </c>
      <c r="B225" s="174">
        <v>191</v>
      </c>
      <c r="C225" s="203" t="s">
        <v>400</v>
      </c>
      <c r="D225" s="199" t="s">
        <v>469</v>
      </c>
      <c r="E225" s="205" t="s">
        <v>287</v>
      </c>
      <c r="F225" s="206">
        <v>62.49</v>
      </c>
      <c r="G225" s="207">
        <v>53.96251555826409</v>
      </c>
      <c r="H225" s="206">
        <v>104.21</v>
      </c>
      <c r="I225" s="207">
        <v>6.46</v>
      </c>
      <c r="J225" s="196" t="str">
        <f t="shared" si="17"/>
        <v>F2      OPERATORE SPEC.TO MANUTENZIONE ………….....….….…….………… Assistente di Deposito (par. 135)</v>
      </c>
      <c r="K225" s="197"/>
      <c r="L225" s="197"/>
      <c r="M225" s="197"/>
      <c r="N225" s="197"/>
      <c r="O225" s="197"/>
      <c r="P225" s="147">
        <v>25</v>
      </c>
      <c r="Q225" s="147">
        <v>58</v>
      </c>
      <c r="R225" s="223"/>
      <c r="S225" s="147">
        <v>25</v>
      </c>
      <c r="T225" s="147">
        <v>58</v>
      </c>
      <c r="U225" s="147"/>
    </row>
    <row r="226" spans="1:21" ht="18" customHeight="1" hidden="1" thickBot="1">
      <c r="A226" s="148" t="str">
        <f t="shared" si="13"/>
        <v>F2-OPERATORE SPEC.TO MANUTENZIONE-Assistente di Deposito (par. 142)</v>
      </c>
      <c r="B226" s="147">
        <v>192</v>
      </c>
      <c r="C226" s="203" t="s">
        <v>400</v>
      </c>
      <c r="D226" s="199" t="s">
        <v>469</v>
      </c>
      <c r="E226" s="205" t="s">
        <v>288</v>
      </c>
      <c r="F226" s="206">
        <v>62.49</v>
      </c>
      <c r="G226" s="207">
        <v>53.96251555826409</v>
      </c>
      <c r="H226" s="206">
        <v>104.21</v>
      </c>
      <c r="I226" s="207">
        <v>40.38</v>
      </c>
      <c r="J226" s="196" t="str">
        <f t="shared" si="17"/>
        <v>F2      OPERATORE SPEC.TO MANUTENZIONE ………….....….….…….………… Assistente di Deposito (par. 142)</v>
      </c>
      <c r="K226" s="197"/>
      <c r="L226" s="197"/>
      <c r="M226" s="197"/>
      <c r="N226" s="197"/>
      <c r="O226" s="197"/>
      <c r="P226" s="147">
        <v>25</v>
      </c>
      <c r="Q226" s="147">
        <v>58</v>
      </c>
      <c r="R226" s="223"/>
      <c r="S226" s="147">
        <v>25</v>
      </c>
      <c r="T226" s="147">
        <v>58</v>
      </c>
      <c r="U226" s="147"/>
    </row>
    <row r="227" spans="1:21" ht="18" customHeight="1" hidden="1" thickBot="1">
      <c r="A227" s="148" t="str">
        <f t="shared" si="13"/>
        <v>F2-OPERATORE SPEC.TO MANUTENZIONE-Manutenzione Infrastrutture</v>
      </c>
      <c r="B227" s="174">
        <v>193</v>
      </c>
      <c r="C227" s="203" t="s">
        <v>400</v>
      </c>
      <c r="D227" s="199" t="s">
        <v>469</v>
      </c>
      <c r="E227" s="205" t="s">
        <v>250</v>
      </c>
      <c r="F227" s="206">
        <v>48.03</v>
      </c>
      <c r="G227" s="207">
        <v>45.286039653560714</v>
      </c>
      <c r="H227" s="206">
        <v>79.08</v>
      </c>
      <c r="I227" s="207">
        <v>40.38</v>
      </c>
      <c r="J227" s="196" t="str">
        <f t="shared" si="17"/>
        <v>F2      OPERATORE SPEC.TO MANUTENZIONE ………….....….….…….………… Manutenzione Infrastrutture</v>
      </c>
      <c r="K227" s="197"/>
      <c r="L227" s="197"/>
      <c r="M227" s="197"/>
      <c r="N227" s="197"/>
      <c r="O227" s="197"/>
      <c r="P227" s="147">
        <v>25</v>
      </c>
      <c r="Q227" s="147">
        <v>65</v>
      </c>
      <c r="R227" s="223"/>
      <c r="S227" s="147">
        <v>25</v>
      </c>
      <c r="T227" s="147">
        <v>65</v>
      </c>
      <c r="U227" s="147"/>
    </row>
    <row r="228" spans="1:21" ht="18" customHeight="1" hidden="1" thickBot="1">
      <c r="A228" s="148" t="str">
        <f t="shared" si="13"/>
        <v>F2-OPERATORE SPEC.TO MANUTENZIONE-Manutenzione Rotabili</v>
      </c>
      <c r="B228" s="147">
        <v>194</v>
      </c>
      <c r="C228" s="203" t="s">
        <v>400</v>
      </c>
      <c r="D228" s="199" t="s">
        <v>469</v>
      </c>
      <c r="E228" s="205" t="s">
        <v>251</v>
      </c>
      <c r="F228" s="206">
        <v>53.2</v>
      </c>
      <c r="G228" s="207">
        <v>48.38</v>
      </c>
      <c r="H228" s="206">
        <v>104.21</v>
      </c>
      <c r="I228" s="207">
        <v>40.38</v>
      </c>
      <c r="J228" s="196" t="str">
        <f t="shared" si="17"/>
        <v>F2      OPERATORE SPEC.TO MANUTENZIONE ………….....….….…….………… Manutenzione Rotabili</v>
      </c>
      <c r="K228" s="197"/>
      <c r="L228" s="197"/>
      <c r="M228" s="197"/>
      <c r="N228" s="197"/>
      <c r="O228" s="197"/>
      <c r="P228" s="147">
        <v>25</v>
      </c>
      <c r="Q228" s="147">
        <v>65</v>
      </c>
      <c r="R228" s="223"/>
      <c r="S228" s="147">
        <v>25</v>
      </c>
      <c r="T228" s="147">
        <v>65</v>
      </c>
      <c r="U228" s="147"/>
    </row>
    <row r="229" spans="1:21" ht="18" customHeight="1" hidden="1" thickBot="1">
      <c r="A229" s="148" t="str">
        <f aca="true" t="shared" si="18" ref="A229:A267">C229&amp;$A$34&amp;D229&amp;$A$34&amp;E229</f>
        <v>F2-OPERATORE SPEC.TO MANUTENZIONE-Officine Navi Traghetto</v>
      </c>
      <c r="B229" s="174">
        <v>195</v>
      </c>
      <c r="C229" s="203" t="s">
        <v>400</v>
      </c>
      <c r="D229" s="199" t="s">
        <v>469</v>
      </c>
      <c r="E229" s="205" t="s">
        <v>252</v>
      </c>
      <c r="F229" s="206">
        <v>53.2</v>
      </c>
      <c r="G229" s="207">
        <v>48.38</v>
      </c>
      <c r="H229" s="206">
        <v>91.21</v>
      </c>
      <c r="I229" s="207">
        <v>40.38</v>
      </c>
      <c r="J229" s="196" t="str">
        <f t="shared" si="17"/>
        <v>F2      OPERATORE SPEC.TO MANUTENZIONE ………….....….….…….………… Officine Navi Traghetto</v>
      </c>
      <c r="K229" s="197"/>
      <c r="L229" s="197"/>
      <c r="M229" s="197"/>
      <c r="N229" s="197"/>
      <c r="O229" s="197"/>
      <c r="P229" s="147">
        <v>25</v>
      </c>
      <c r="Q229" s="147">
        <v>65</v>
      </c>
      <c r="R229" s="223"/>
      <c r="S229" s="147">
        <v>25</v>
      </c>
      <c r="T229" s="147">
        <v>65</v>
      </c>
      <c r="U229" s="147"/>
    </row>
    <row r="230" spans="1:21" ht="18" customHeight="1" hidden="1" thickBot="1">
      <c r="A230" s="148" t="str">
        <f t="shared" si="18"/>
        <v>F2-OPERATORE SPEC.TO MANUTENZIONE-Officine Nazionali Infrastrutture</v>
      </c>
      <c r="B230" s="147">
        <v>196</v>
      </c>
      <c r="C230" s="203" t="s">
        <v>400</v>
      </c>
      <c r="D230" s="204" t="s">
        <v>469</v>
      </c>
      <c r="E230" s="205" t="s">
        <v>253</v>
      </c>
      <c r="F230" s="226">
        <v>48.03</v>
      </c>
      <c r="G230" s="207">
        <v>45.286039653560714</v>
      </c>
      <c r="H230" s="227">
        <v>104.21</v>
      </c>
      <c r="I230" s="207">
        <v>40.38</v>
      </c>
      <c r="J230" s="196" t="str">
        <f t="shared" si="17"/>
        <v>F2      OPERATORE SPEC.TO MANUTENZIONE ………….....….….…….………… Officine Nazionali Infrastrutture</v>
      </c>
      <c r="K230" s="197"/>
      <c r="L230" s="197"/>
      <c r="M230" s="197"/>
      <c r="N230" s="197"/>
      <c r="O230" s="197"/>
      <c r="P230" s="147">
        <v>25</v>
      </c>
      <c r="Q230" s="147">
        <v>65</v>
      </c>
      <c r="R230" s="223"/>
      <c r="S230" s="147">
        <v>25</v>
      </c>
      <c r="T230" s="147">
        <v>65</v>
      </c>
      <c r="U230" s="147"/>
    </row>
    <row r="231" spans="1:21" ht="18" customHeight="1" hidden="1" thickBot="1">
      <c r="A231" s="148" t="str">
        <f t="shared" si="18"/>
        <v>F2-OPERATORE SPECIALIZZATO UFFICI-Operatore d’Ufficio (par. 135)</v>
      </c>
      <c r="B231" s="174">
        <v>197</v>
      </c>
      <c r="C231" s="198" t="s">
        <v>400</v>
      </c>
      <c r="D231" s="199" t="s">
        <v>471</v>
      </c>
      <c r="E231" s="205" t="s">
        <v>289</v>
      </c>
      <c r="F231" s="201">
        <v>32.57</v>
      </c>
      <c r="G231" s="202">
        <v>35.6095637488573</v>
      </c>
      <c r="H231" s="201">
        <v>68.94</v>
      </c>
      <c r="I231" s="202">
        <v>6.46</v>
      </c>
      <c r="J231" s="196" t="str">
        <f>CONCATENATE(C231,"      ",D231," …….…..…........….….…….………… ",E231)</f>
        <v>F2      OPERATORE SPECIALIZZATO UFFICI …….…..…........….….…….………… Operatore d’Ufficio (par. 135)</v>
      </c>
      <c r="K231" s="197"/>
      <c r="L231" s="197"/>
      <c r="M231" s="197"/>
      <c r="N231" s="197"/>
      <c r="O231" s="197"/>
      <c r="P231" s="147">
        <v>30</v>
      </c>
      <c r="Q231" s="147">
        <v>65</v>
      </c>
      <c r="R231" s="223"/>
      <c r="S231" s="147">
        <v>30</v>
      </c>
      <c r="T231" s="147">
        <v>65</v>
      </c>
      <c r="U231" s="147"/>
    </row>
    <row r="232" spans="1:21" ht="18" customHeight="1" hidden="1" thickBot="1">
      <c r="A232" s="148" t="str">
        <f t="shared" si="18"/>
        <v>F2-OPERATORE SPECIALIZZATO UFFICI-Operatore d’Ufficio (par. 142)</v>
      </c>
      <c r="B232" s="147">
        <v>198</v>
      </c>
      <c r="C232" s="203" t="s">
        <v>400</v>
      </c>
      <c r="D232" s="199" t="s">
        <v>471</v>
      </c>
      <c r="E232" s="205" t="s">
        <v>290</v>
      </c>
      <c r="F232" s="201">
        <v>33.57</v>
      </c>
      <c r="G232" s="202">
        <v>36.60956374885734</v>
      </c>
      <c r="H232" s="206">
        <v>69.94</v>
      </c>
      <c r="I232" s="207">
        <v>40.38</v>
      </c>
      <c r="J232" s="196" t="str">
        <f>CONCATENATE(C232,"      ",D232," …….…..…........….….…….………… ",E232)</f>
        <v>F2      OPERATORE SPECIALIZZATO UFFICI …….…..…........….….…….………… Operatore d’Ufficio (par. 142)</v>
      </c>
      <c r="K232" s="197"/>
      <c r="L232" s="197"/>
      <c r="M232" s="197"/>
      <c r="N232" s="197"/>
      <c r="O232" s="197"/>
      <c r="P232" s="147">
        <v>30</v>
      </c>
      <c r="Q232" s="147">
        <v>65</v>
      </c>
      <c r="R232" s="223"/>
      <c r="S232" s="147">
        <v>30</v>
      </c>
      <c r="T232" s="147">
        <v>65</v>
      </c>
      <c r="U232" s="147"/>
    </row>
    <row r="233" spans="1:21" ht="18" customHeight="1" hidden="1" thickBot="1">
      <c r="A233" s="148" t="str">
        <f t="shared" si="18"/>
        <v>F2-OPERATORE SPECIALIZZATO UFFICI-Ex profilo non previsto</v>
      </c>
      <c r="B233" s="174">
        <v>199</v>
      </c>
      <c r="C233" s="208" t="s">
        <v>400</v>
      </c>
      <c r="D233" s="209" t="s">
        <v>471</v>
      </c>
      <c r="E233" s="200" t="s">
        <v>374</v>
      </c>
      <c r="F233" s="210">
        <v>33.57</v>
      </c>
      <c r="G233" s="211">
        <v>36.60956374885734</v>
      </c>
      <c r="H233" s="210">
        <v>69.94</v>
      </c>
      <c r="I233" s="211">
        <v>40.38</v>
      </c>
      <c r="J233" s="196" t="str">
        <f>CONCATENATE(C233,"      ",D233,"                    ",E233)</f>
        <v>F2      OPERATORE SPECIALIZZATO UFFICI                    Ex profilo non previsto</v>
      </c>
      <c r="K233" s="197"/>
      <c r="L233" s="197"/>
      <c r="M233" s="197"/>
      <c r="N233" s="197"/>
      <c r="O233" s="197"/>
      <c r="P233" s="147">
        <v>30</v>
      </c>
      <c r="Q233" s="147">
        <v>65</v>
      </c>
      <c r="R233" s="223"/>
      <c r="S233" s="147">
        <v>30</v>
      </c>
      <c r="T233" s="147">
        <v>65</v>
      </c>
      <c r="U233" s="147"/>
    </row>
    <row r="234" spans="1:21" ht="18" customHeight="1" hidden="1" thickBot="1">
      <c r="A234" s="148" t="str">
        <f t="shared" si="18"/>
        <v>G1-AUSILIARIO-Ausiliario (Tecnico) (par. 135)</v>
      </c>
      <c r="B234" s="147">
        <v>200</v>
      </c>
      <c r="C234" s="198" t="s">
        <v>401</v>
      </c>
      <c r="D234" s="199" t="s">
        <v>472</v>
      </c>
      <c r="E234" s="205" t="s">
        <v>291</v>
      </c>
      <c r="F234" s="201">
        <v>45.96</v>
      </c>
      <c r="G234" s="202">
        <v>43.23467285037727</v>
      </c>
      <c r="H234" s="201">
        <v>64</v>
      </c>
      <c r="I234" s="202">
        <v>25.642575854607003</v>
      </c>
      <c r="J234" s="196" t="str">
        <f>CONCATENATE(C234,"      ",D234," …………....……....…….….……....…....….….…………….………………… ",E234)</f>
        <v>G1      AUSILIARIO …………....……....…….….……....…....….….…………….………………… Ausiliario (Tecnico) (par. 135)</v>
      </c>
      <c r="K234" s="197"/>
      <c r="L234" s="197"/>
      <c r="M234" s="197"/>
      <c r="N234" s="197"/>
      <c r="O234" s="197"/>
      <c r="P234" s="147">
        <v>25</v>
      </c>
      <c r="Q234" s="147">
        <v>65</v>
      </c>
      <c r="R234" s="223"/>
      <c r="S234" s="147">
        <v>25</v>
      </c>
      <c r="T234" s="147">
        <v>65</v>
      </c>
      <c r="U234" s="147"/>
    </row>
    <row r="235" spans="1:21" ht="18" customHeight="1" hidden="1" thickBot="1">
      <c r="A235" s="148" t="str">
        <f t="shared" si="18"/>
        <v>G1-AUSILIARIO-Ausiliario di Stazione(par. 135)</v>
      </c>
      <c r="B235" s="174">
        <v>201</v>
      </c>
      <c r="C235" s="203" t="s">
        <v>401</v>
      </c>
      <c r="D235" s="199" t="s">
        <v>472</v>
      </c>
      <c r="E235" s="205" t="s">
        <v>292</v>
      </c>
      <c r="F235" s="206">
        <v>51.65</v>
      </c>
      <c r="G235" s="207">
        <v>46.643288384367885</v>
      </c>
      <c r="H235" s="206">
        <v>80.57</v>
      </c>
      <c r="I235" s="207">
        <v>25.642575854607003</v>
      </c>
      <c r="J235" s="196" t="str">
        <f aca="true" t="shared" si="19" ref="J235:J242">CONCATENATE(C235,"      ",D235," …………....……....…….….……....…....….….…………….………………… ",E235)</f>
        <v>G1      AUSILIARIO …………....……....…….….……....…....….….…………….………………… Ausiliario di Stazione(par. 135)</v>
      </c>
      <c r="K235" s="197"/>
      <c r="L235" s="197"/>
      <c r="M235" s="197"/>
      <c r="N235" s="197"/>
      <c r="O235" s="197"/>
      <c r="P235" s="147">
        <v>25</v>
      </c>
      <c r="Q235" s="147">
        <v>65</v>
      </c>
      <c r="R235" s="223"/>
      <c r="S235" s="147">
        <v>25</v>
      </c>
      <c r="T235" s="147">
        <v>65</v>
      </c>
      <c r="U235" s="147"/>
    </row>
    <row r="236" spans="1:21" ht="18" customHeight="1" hidden="1" thickBot="1">
      <c r="A236" s="148" t="str">
        <f t="shared" si="18"/>
        <v>G1-AUSILIARIO-Ausiliario Viaggiante (par. 135)</v>
      </c>
      <c r="B236" s="147">
        <v>202</v>
      </c>
      <c r="C236" s="203" t="s">
        <v>401</v>
      </c>
      <c r="D236" s="199" t="s">
        <v>472</v>
      </c>
      <c r="E236" s="205" t="s">
        <v>293</v>
      </c>
      <c r="F236" s="206">
        <v>56.29</v>
      </c>
      <c r="G236" s="207">
        <v>49.43215563945111</v>
      </c>
      <c r="H236" s="206">
        <v>80.57</v>
      </c>
      <c r="I236" s="207">
        <v>25.642575854607003</v>
      </c>
      <c r="J236" s="196" t="str">
        <f t="shared" si="19"/>
        <v>G1      AUSILIARIO …………....……....…….….……....…....….….…………….………………… Ausiliario Viaggiante (par. 135)</v>
      </c>
      <c r="K236" s="197"/>
      <c r="L236" s="197"/>
      <c r="M236" s="197"/>
      <c r="N236" s="197"/>
      <c r="O236" s="197"/>
      <c r="P236" s="147">
        <v>25</v>
      </c>
      <c r="Q236" s="147">
        <v>58</v>
      </c>
      <c r="R236" s="223"/>
      <c r="S236" s="147">
        <v>25</v>
      </c>
      <c r="T236" s="147">
        <v>58</v>
      </c>
      <c r="U236" s="147"/>
    </row>
    <row r="237" spans="1:21" ht="18" customHeight="1" hidden="1" thickBot="1">
      <c r="A237" s="148" t="str">
        <f t="shared" si="18"/>
        <v>G1-AUSILIARIO-Aiuto Macchinista t.m. R.e.</v>
      </c>
      <c r="B237" s="174">
        <v>203</v>
      </c>
      <c r="C237" s="203" t="s">
        <v>401</v>
      </c>
      <c r="D237" s="199" t="s">
        <v>472</v>
      </c>
      <c r="E237" s="205" t="s">
        <v>294</v>
      </c>
      <c r="F237" s="206">
        <v>71.79</v>
      </c>
      <c r="G237" s="207">
        <v>141.18950352998291</v>
      </c>
      <c r="H237" s="206">
        <v>80.57</v>
      </c>
      <c r="I237" s="207">
        <v>25.642575854607003</v>
      </c>
      <c r="J237" s="196" t="str">
        <f t="shared" si="19"/>
        <v>G1      AUSILIARIO …………....……....…….….……....…....….….…………….………………… Aiuto Macchinista t.m. R.e.</v>
      </c>
      <c r="K237" s="197"/>
      <c r="L237" s="197"/>
      <c r="M237" s="197"/>
      <c r="N237" s="197"/>
      <c r="O237" s="197"/>
      <c r="P237" s="147">
        <v>25</v>
      </c>
      <c r="Q237" s="147">
        <v>58</v>
      </c>
      <c r="R237" s="223"/>
      <c r="S237" s="147">
        <v>25</v>
      </c>
      <c r="T237" s="147">
        <v>58</v>
      </c>
      <c r="U237" s="147"/>
    </row>
    <row r="238" spans="1:21" ht="18" customHeight="1" hidden="1" thickBot="1">
      <c r="A238" s="148" t="str">
        <f t="shared" si="18"/>
        <v>G1-AUSILIARIO-Ausiliario (Uffici) (par. 135)</v>
      </c>
      <c r="B238" s="147">
        <v>204</v>
      </c>
      <c r="C238" s="203" t="s">
        <v>401</v>
      </c>
      <c r="D238" s="199" t="s">
        <v>472</v>
      </c>
      <c r="E238" s="205" t="s">
        <v>295</v>
      </c>
      <c r="F238" s="206">
        <v>29.44</v>
      </c>
      <c r="G238" s="207">
        <v>33.32</v>
      </c>
      <c r="H238" s="206">
        <v>56.66</v>
      </c>
      <c r="I238" s="207">
        <v>25.642575854607003</v>
      </c>
      <c r="J238" s="196" t="str">
        <f t="shared" si="19"/>
        <v>G1      AUSILIARIO …………....……....…….….……....…....….….…………….………………… Ausiliario (Uffici) (par. 135)</v>
      </c>
      <c r="K238" s="197"/>
      <c r="L238" s="197"/>
      <c r="M238" s="197"/>
      <c r="N238" s="197"/>
      <c r="O238" s="197"/>
      <c r="P238" s="147">
        <v>30</v>
      </c>
      <c r="Q238" s="147">
        <v>65</v>
      </c>
      <c r="R238" s="223"/>
      <c r="S238" s="147">
        <v>30</v>
      </c>
      <c r="T238" s="147">
        <v>65</v>
      </c>
      <c r="U238" s="147"/>
    </row>
    <row r="239" spans="1:21" ht="18" customHeight="1" hidden="1" thickBot="1">
      <c r="A239" s="148" t="str">
        <f t="shared" si="18"/>
        <v>G1-AUSILIARIO-Manutenzione Infrastrutture</v>
      </c>
      <c r="B239" s="174">
        <v>205</v>
      </c>
      <c r="C239" s="203" t="s">
        <v>401</v>
      </c>
      <c r="D239" s="199" t="s">
        <v>472</v>
      </c>
      <c r="E239" s="205" t="s">
        <v>250</v>
      </c>
      <c r="F239" s="206">
        <v>45.96</v>
      </c>
      <c r="G239" s="207">
        <v>43.23</v>
      </c>
      <c r="H239" s="206">
        <v>64</v>
      </c>
      <c r="I239" s="207">
        <v>21.45</v>
      </c>
      <c r="J239" s="196" t="str">
        <f t="shared" si="19"/>
        <v>G1      AUSILIARIO …………....……....…….….……....…....….….…………….………………… Manutenzione Infrastrutture</v>
      </c>
      <c r="K239" s="197"/>
      <c r="L239" s="197"/>
      <c r="M239" s="197"/>
      <c r="N239" s="197"/>
      <c r="O239" s="197"/>
      <c r="P239" s="147">
        <v>25</v>
      </c>
      <c r="Q239" s="147">
        <v>65</v>
      </c>
      <c r="R239" s="223"/>
      <c r="S239" s="147">
        <v>25</v>
      </c>
      <c r="T239" s="147">
        <v>65</v>
      </c>
      <c r="U239" s="147"/>
    </row>
    <row r="240" spans="1:21" ht="18" customHeight="1" hidden="1" thickBot="1">
      <c r="A240" s="148" t="str">
        <f t="shared" si="18"/>
        <v>G1-AUSILIARIO-Manutenzione Rotabili</v>
      </c>
      <c r="B240" s="147">
        <v>206</v>
      </c>
      <c r="C240" s="203" t="s">
        <v>401</v>
      </c>
      <c r="D240" s="199" t="s">
        <v>472</v>
      </c>
      <c r="E240" s="205" t="s">
        <v>251</v>
      </c>
      <c r="F240" s="206">
        <v>45.96</v>
      </c>
      <c r="G240" s="207">
        <v>43.23</v>
      </c>
      <c r="H240" s="206">
        <v>78.07</v>
      </c>
      <c r="I240" s="207">
        <v>21.45</v>
      </c>
      <c r="J240" s="196" t="str">
        <f t="shared" si="19"/>
        <v>G1      AUSILIARIO …………....……....…….….……....…....….….…………….………………… Manutenzione Rotabili</v>
      </c>
      <c r="K240" s="197"/>
      <c r="L240" s="197"/>
      <c r="M240" s="197"/>
      <c r="N240" s="197"/>
      <c r="O240" s="197"/>
      <c r="P240" s="147">
        <v>25</v>
      </c>
      <c r="Q240" s="147">
        <v>65</v>
      </c>
      <c r="R240" s="223"/>
      <c r="S240" s="147">
        <v>25</v>
      </c>
      <c r="T240" s="147">
        <v>65</v>
      </c>
      <c r="U240" s="147"/>
    </row>
    <row r="241" spans="1:21" ht="18" customHeight="1" hidden="1" thickBot="1">
      <c r="A241" s="148" t="str">
        <f t="shared" si="18"/>
        <v>G1-AUSILIARIO-Officine Navi Traghetto</v>
      </c>
      <c r="B241" s="174">
        <v>207</v>
      </c>
      <c r="C241" s="203" t="s">
        <v>401</v>
      </c>
      <c r="D241" s="199" t="s">
        <v>472</v>
      </c>
      <c r="E241" s="205" t="s">
        <v>252</v>
      </c>
      <c r="F241" s="206">
        <v>45.96</v>
      </c>
      <c r="G241" s="207">
        <v>43.23</v>
      </c>
      <c r="H241" s="206">
        <v>65.07</v>
      </c>
      <c r="I241" s="207">
        <v>21.45</v>
      </c>
      <c r="J241" s="196" t="str">
        <f t="shared" si="19"/>
        <v>G1      AUSILIARIO …………....……....…….….……....…....….….…………….………………… Officine Navi Traghetto</v>
      </c>
      <c r="K241" s="197"/>
      <c r="L241" s="197"/>
      <c r="M241" s="197"/>
      <c r="N241" s="197"/>
      <c r="O241" s="197"/>
      <c r="P241" s="147">
        <v>25</v>
      </c>
      <c r="Q241" s="147">
        <v>58</v>
      </c>
      <c r="R241" s="223"/>
      <c r="S241" s="147">
        <v>25</v>
      </c>
      <c r="T241" s="147">
        <v>58</v>
      </c>
      <c r="U241" s="147"/>
    </row>
    <row r="242" spans="1:21" ht="18" customHeight="1" hidden="1" thickBot="1">
      <c r="A242" s="148" t="str">
        <f t="shared" si="18"/>
        <v>G1-AUSILIARIO-Officine Nazionali Infrastrutture</v>
      </c>
      <c r="B242" s="147">
        <v>208</v>
      </c>
      <c r="C242" s="203" t="s">
        <v>401</v>
      </c>
      <c r="D242" s="199" t="s">
        <v>472</v>
      </c>
      <c r="E242" s="205" t="s">
        <v>253</v>
      </c>
      <c r="F242" s="206">
        <v>45.96</v>
      </c>
      <c r="G242" s="207">
        <v>43.23</v>
      </c>
      <c r="H242" s="206">
        <v>78.07</v>
      </c>
      <c r="I242" s="207">
        <v>21.45</v>
      </c>
      <c r="J242" s="196" t="str">
        <f t="shared" si="19"/>
        <v>G1      AUSILIARIO …………....……....…….….……....…....….….…………….………………… Officine Nazionali Infrastrutture</v>
      </c>
      <c r="K242" s="197"/>
      <c r="L242" s="197"/>
      <c r="M242" s="197"/>
      <c r="N242" s="197"/>
      <c r="O242" s="197"/>
      <c r="P242" s="147">
        <v>25</v>
      </c>
      <c r="Q242" s="147">
        <v>58</v>
      </c>
      <c r="R242" s="223"/>
      <c r="S242" s="147">
        <v>25</v>
      </c>
      <c r="T242" s="147">
        <v>58</v>
      </c>
      <c r="U242" s="147"/>
    </row>
    <row r="243" spans="1:21" ht="18" customHeight="1" hidden="1" thickBot="1">
      <c r="A243" s="148" t="str">
        <f t="shared" si="18"/>
        <v>G1-AUSILIARIO-Ex profilo non previsto</v>
      </c>
      <c r="B243" s="174">
        <v>209</v>
      </c>
      <c r="C243" s="198" t="s">
        <v>401</v>
      </c>
      <c r="D243" s="199" t="s">
        <v>472</v>
      </c>
      <c r="E243" s="200" t="s">
        <v>374</v>
      </c>
      <c r="F243" s="201">
        <v>45.96</v>
      </c>
      <c r="G243" s="202">
        <v>43.23467285037727</v>
      </c>
      <c r="H243" s="201">
        <v>80.57</v>
      </c>
      <c r="I243" s="202">
        <v>25.642575854607003</v>
      </c>
      <c r="J243" s="196" t="str">
        <f>CONCATENATE(C243,"      ",D243,"                    ",E243)</f>
        <v>G1      AUSILIARIO                    Ex profilo non previsto</v>
      </c>
      <c r="K243" s="197"/>
      <c r="L243" s="197"/>
      <c r="M243" s="197"/>
      <c r="N243" s="197"/>
      <c r="O243" s="197"/>
      <c r="P243" s="147">
        <v>30</v>
      </c>
      <c r="Q243" s="147">
        <v>65</v>
      </c>
      <c r="R243" s="223"/>
      <c r="S243" s="147">
        <v>30</v>
      </c>
      <c r="T243" s="147">
        <v>65</v>
      </c>
      <c r="U243" s="147"/>
    </row>
    <row r="244" spans="1:21" ht="18" customHeight="1" hidden="1" thickBot="1">
      <c r="A244" s="148" t="str">
        <f t="shared" si="18"/>
        <v>G1-CAMERIERE-Cameriere</v>
      </c>
      <c r="B244" s="147">
        <v>210</v>
      </c>
      <c r="C244" s="203" t="s">
        <v>401</v>
      </c>
      <c r="D244" s="204" t="s">
        <v>473</v>
      </c>
      <c r="E244" s="205" t="s">
        <v>296</v>
      </c>
      <c r="F244" s="206">
        <v>144.61</v>
      </c>
      <c r="G244" s="207">
        <v>102.42063348603243</v>
      </c>
      <c r="H244" s="206">
        <v>129.11</v>
      </c>
      <c r="I244" s="207">
        <v>25.642575854607003</v>
      </c>
      <c r="J244" s="196" t="str">
        <f>CONCATENATE(C244,"      ",D244," ………..…....……....…….….…….…...….….…………….………………… ",E244)</f>
        <v>G1      CAMERIERE ………..…....……....…….….…….…...….….…………….………………… Cameriere</v>
      </c>
      <c r="K244" s="197"/>
      <c r="L244" s="197"/>
      <c r="M244" s="197"/>
      <c r="N244" s="197"/>
      <c r="O244" s="197"/>
      <c r="P244" s="147">
        <v>25</v>
      </c>
      <c r="Q244" s="147">
        <v>58</v>
      </c>
      <c r="R244" s="223"/>
      <c r="S244" s="147">
        <v>25</v>
      </c>
      <c r="T244" s="147">
        <v>58</v>
      </c>
      <c r="U244" s="147"/>
    </row>
    <row r="245" spans="1:21" ht="18" customHeight="1" hidden="1" thickBot="1">
      <c r="A245" s="148" t="str">
        <f t="shared" si="18"/>
        <v>G1-CARBONAIO-Carbonaio (par. 135)</v>
      </c>
      <c r="B245" s="174">
        <v>211</v>
      </c>
      <c r="C245" s="208" t="s">
        <v>401</v>
      </c>
      <c r="D245" s="209" t="s">
        <v>474</v>
      </c>
      <c r="E245" s="205" t="s">
        <v>297</v>
      </c>
      <c r="F245" s="210">
        <v>144.61</v>
      </c>
      <c r="G245" s="211">
        <v>102.42063348603243</v>
      </c>
      <c r="H245" s="210">
        <v>129.11</v>
      </c>
      <c r="I245" s="211">
        <v>25.642575854607003</v>
      </c>
      <c r="J245" s="196" t="str">
        <f>CONCATENATE(C245,"      ",D245," ………......…....….…....…….……......….….…………….………………… ",E245)</f>
        <v>G1      CARBONAIO ………......…....….…....…….……......….….…………….………………… Carbonaio (par. 135)</v>
      </c>
      <c r="K245" s="197"/>
      <c r="L245" s="197"/>
      <c r="M245" s="197"/>
      <c r="N245" s="197"/>
      <c r="O245" s="197"/>
      <c r="P245" s="147">
        <v>25</v>
      </c>
      <c r="Q245" s="147">
        <v>58</v>
      </c>
      <c r="R245" s="223"/>
      <c r="S245" s="147">
        <v>25</v>
      </c>
      <c r="T245" s="147">
        <v>58</v>
      </c>
      <c r="U245" s="147"/>
    </row>
    <row r="246" spans="1:21" ht="18" customHeight="1" hidden="1" thickBot="1">
      <c r="A246" s="148" t="str">
        <f t="shared" si="18"/>
        <v>G2-AUSILIARIO-Ausiliario Tecnico (par. 100)</v>
      </c>
      <c r="B246" s="147">
        <v>212</v>
      </c>
      <c r="C246" s="198" t="s">
        <v>402</v>
      </c>
      <c r="D246" s="199" t="s">
        <v>472</v>
      </c>
      <c r="E246" s="205" t="s">
        <v>298</v>
      </c>
      <c r="F246" s="201">
        <v>45.96</v>
      </c>
      <c r="G246" s="202">
        <v>41.72713516193506</v>
      </c>
      <c r="H246" s="201">
        <v>64</v>
      </c>
      <c r="I246" s="202"/>
      <c r="J246" s="196" t="str">
        <f>CONCATENATE(C246,"      ",D246," ……..……....……....…….….……..….......….…………….………………… ",E246)</f>
        <v>G2      AUSILIARIO ……..……....……....…….….……..….......….…………….………………… Ausiliario Tecnico (par. 100)</v>
      </c>
      <c r="K246" s="197"/>
      <c r="L246" s="197"/>
      <c r="M246" s="197"/>
      <c r="N246" s="197"/>
      <c r="O246" s="197"/>
      <c r="P246" s="147">
        <v>25</v>
      </c>
      <c r="Q246" s="147">
        <v>65</v>
      </c>
      <c r="R246" s="223"/>
      <c r="S246" s="147">
        <v>25</v>
      </c>
      <c r="T246" s="147">
        <v>65</v>
      </c>
      <c r="U246" s="147"/>
    </row>
    <row r="247" spans="1:21" ht="18" customHeight="1" hidden="1" thickBot="1">
      <c r="A247" s="148" t="str">
        <f t="shared" si="18"/>
        <v>G2-AUSILIARIO-Ausiliario Tecnico (par. 122)</v>
      </c>
      <c r="B247" s="174">
        <v>213</v>
      </c>
      <c r="C247" s="198" t="s">
        <v>402</v>
      </c>
      <c r="D247" s="199" t="s">
        <v>472</v>
      </c>
      <c r="E247" s="205" t="s">
        <v>299</v>
      </c>
      <c r="F247" s="201">
        <v>45.96</v>
      </c>
      <c r="G247" s="202">
        <v>41.72713516193506</v>
      </c>
      <c r="H247" s="201">
        <v>64</v>
      </c>
      <c r="I247" s="207">
        <v>21.45</v>
      </c>
      <c r="J247" s="196" t="str">
        <f aca="true" t="shared" si="20" ref="J247:J257">CONCATENATE(C247,"      ",D247," ……..……....……....…….….……..….......….…………….………………… ",E247)</f>
        <v>G2      AUSILIARIO ……..……....……....…….….……..….......….…………….………………… Ausiliario Tecnico (par. 122)</v>
      </c>
      <c r="K247" s="197"/>
      <c r="L247" s="197"/>
      <c r="M247" s="197"/>
      <c r="N247" s="197"/>
      <c r="O247" s="197"/>
      <c r="P247" s="147">
        <v>25</v>
      </c>
      <c r="Q247" s="147">
        <v>65</v>
      </c>
      <c r="R247" s="223"/>
      <c r="S247" s="147">
        <v>25</v>
      </c>
      <c r="T247" s="147">
        <v>65</v>
      </c>
      <c r="U247" s="147"/>
    </row>
    <row r="248" spans="1:21" ht="18" customHeight="1" hidden="1" thickBot="1">
      <c r="A248" s="148" t="str">
        <f t="shared" si="18"/>
        <v>G2-AUSILIARIO-Ausiliario di Stazione(par. 100)</v>
      </c>
      <c r="B248" s="147">
        <v>214</v>
      </c>
      <c r="C248" s="198" t="s">
        <v>402</v>
      </c>
      <c r="D248" s="199" t="s">
        <v>472</v>
      </c>
      <c r="E248" s="205" t="s">
        <v>300</v>
      </c>
      <c r="F248" s="206">
        <v>51.65</v>
      </c>
      <c r="G248" s="207">
        <v>45.13575069592567</v>
      </c>
      <c r="H248" s="206">
        <v>80.57</v>
      </c>
      <c r="I248" s="207"/>
      <c r="J248" s="196" t="str">
        <f t="shared" si="20"/>
        <v>G2      AUSILIARIO ……..……....……....…….….……..….......….…………….………………… Ausiliario di Stazione(par. 100)</v>
      </c>
      <c r="K248" s="197"/>
      <c r="L248" s="197"/>
      <c r="M248" s="197"/>
      <c r="N248" s="197"/>
      <c r="O248" s="197"/>
      <c r="P248" s="147">
        <v>25</v>
      </c>
      <c r="Q248" s="147">
        <v>65</v>
      </c>
      <c r="R248" s="223"/>
      <c r="S248" s="147">
        <v>25</v>
      </c>
      <c r="T248" s="147">
        <v>65</v>
      </c>
      <c r="U248" s="147"/>
    </row>
    <row r="249" spans="1:21" ht="18" customHeight="1" hidden="1" thickBot="1">
      <c r="A249" s="148" t="str">
        <f t="shared" si="18"/>
        <v>G2-AUSILIARIO-Ausiliario di Stazione(par. 122)</v>
      </c>
      <c r="B249" s="174">
        <v>215</v>
      </c>
      <c r="C249" s="198" t="s">
        <v>402</v>
      </c>
      <c r="D249" s="199" t="s">
        <v>472</v>
      </c>
      <c r="E249" s="205" t="s">
        <v>301</v>
      </c>
      <c r="F249" s="206">
        <v>51.65</v>
      </c>
      <c r="G249" s="207">
        <v>45.13575069592567</v>
      </c>
      <c r="H249" s="206">
        <v>80.57</v>
      </c>
      <c r="I249" s="207">
        <v>21.45</v>
      </c>
      <c r="J249" s="196" t="str">
        <f t="shared" si="20"/>
        <v>G2      AUSILIARIO ……..……....……....…….….……..….......….…………….………………… Ausiliario di Stazione(par. 122)</v>
      </c>
      <c r="K249" s="197"/>
      <c r="L249" s="197"/>
      <c r="M249" s="197"/>
      <c r="N249" s="197"/>
      <c r="O249" s="197"/>
      <c r="P249" s="147">
        <v>25</v>
      </c>
      <c r="Q249" s="147">
        <v>65</v>
      </c>
      <c r="R249" s="223"/>
      <c r="S249" s="147">
        <v>25</v>
      </c>
      <c r="T249" s="147">
        <v>65</v>
      </c>
      <c r="U249" s="147"/>
    </row>
    <row r="250" spans="1:21" ht="18" customHeight="1" hidden="1" thickBot="1">
      <c r="A250" s="148" t="str">
        <f t="shared" si="18"/>
        <v>G2-AUSILIARIO-Ausiliario Uffici (par. 100)</v>
      </c>
      <c r="B250" s="147">
        <v>216</v>
      </c>
      <c r="C250" s="198" t="s">
        <v>402</v>
      </c>
      <c r="D250" s="199" t="s">
        <v>472</v>
      </c>
      <c r="E250" s="205" t="s">
        <v>302</v>
      </c>
      <c r="F250" s="206">
        <v>29.44</v>
      </c>
      <c r="G250" s="207">
        <v>31.81</v>
      </c>
      <c r="H250" s="206">
        <v>56.66</v>
      </c>
      <c r="I250" s="207"/>
      <c r="J250" s="196" t="str">
        <f t="shared" si="20"/>
        <v>G2      AUSILIARIO ……..……....……....…….….……..….......….…………….………………… Ausiliario Uffici (par. 100)</v>
      </c>
      <c r="K250" s="197"/>
      <c r="L250" s="197"/>
      <c r="M250" s="197"/>
      <c r="N250" s="197"/>
      <c r="O250" s="197"/>
      <c r="P250" s="147">
        <v>30</v>
      </c>
      <c r="Q250" s="147">
        <v>65</v>
      </c>
      <c r="R250" s="223"/>
      <c r="S250" s="147">
        <v>30</v>
      </c>
      <c r="T250" s="147">
        <v>65</v>
      </c>
      <c r="U250" s="147"/>
    </row>
    <row r="251" spans="1:21" ht="18" customHeight="1" hidden="1" thickBot="1">
      <c r="A251" s="148" t="str">
        <f t="shared" si="18"/>
        <v>G2-AUSILIARIO-Ausiliario Uffici (par. 122)</v>
      </c>
      <c r="B251" s="174">
        <v>217</v>
      </c>
      <c r="C251" s="198" t="s">
        <v>402</v>
      </c>
      <c r="D251" s="199" t="s">
        <v>472</v>
      </c>
      <c r="E251" s="205" t="s">
        <v>304</v>
      </c>
      <c r="F251" s="206">
        <v>29.44</v>
      </c>
      <c r="G251" s="207">
        <v>31.81</v>
      </c>
      <c r="H251" s="206">
        <v>56.66</v>
      </c>
      <c r="I251" s="207">
        <v>21.45</v>
      </c>
      <c r="J251" s="196" t="str">
        <f t="shared" si="20"/>
        <v>G2      AUSILIARIO ……..……....……....…….….……..….......….…………….………………… Ausiliario Uffici (par. 122)</v>
      </c>
      <c r="K251" s="197"/>
      <c r="L251" s="197"/>
      <c r="M251" s="197"/>
      <c r="N251" s="197"/>
      <c r="O251" s="197"/>
      <c r="P251" s="147">
        <v>30</v>
      </c>
      <c r="Q251" s="147">
        <v>65</v>
      </c>
      <c r="R251" s="223"/>
      <c r="S251" s="147">
        <v>30</v>
      </c>
      <c r="T251" s="147">
        <v>65</v>
      </c>
      <c r="U251" s="147"/>
    </row>
    <row r="252" spans="1:21" ht="18" customHeight="1" hidden="1" thickBot="1">
      <c r="A252" s="148" t="str">
        <f t="shared" si="18"/>
        <v>G2-AUSILIARIO-Ausiliario Viaggiante (par. 100)</v>
      </c>
      <c r="B252" s="147">
        <v>218</v>
      </c>
      <c r="C252" s="198" t="s">
        <v>402</v>
      </c>
      <c r="D252" s="199" t="s">
        <v>472</v>
      </c>
      <c r="E252" s="205" t="s">
        <v>305</v>
      </c>
      <c r="F252" s="206">
        <v>56.29</v>
      </c>
      <c r="G252" s="207">
        <v>47.9246179510089</v>
      </c>
      <c r="H252" s="201">
        <v>80.57</v>
      </c>
      <c r="I252" s="207"/>
      <c r="J252" s="196" t="str">
        <f t="shared" si="20"/>
        <v>G2      AUSILIARIO ……..……....……....…….….……..….......….…………….………………… Ausiliario Viaggiante (par. 100)</v>
      </c>
      <c r="K252" s="197"/>
      <c r="L252" s="197"/>
      <c r="M252" s="197"/>
      <c r="N252" s="197"/>
      <c r="O252" s="197"/>
      <c r="P252" s="147">
        <v>25</v>
      </c>
      <c r="Q252" s="147">
        <v>58</v>
      </c>
      <c r="R252" s="223"/>
      <c r="S252" s="147">
        <v>25</v>
      </c>
      <c r="T252" s="147">
        <v>58</v>
      </c>
      <c r="U252" s="147"/>
    </row>
    <row r="253" spans="1:21" ht="18" customHeight="1" hidden="1" thickBot="1">
      <c r="A253" s="148" t="str">
        <f t="shared" si="18"/>
        <v>G2-AUSILIARIO-Ausiliario Viaggiante (par. 122)</v>
      </c>
      <c r="B253" s="174">
        <v>219</v>
      </c>
      <c r="C253" s="198" t="s">
        <v>402</v>
      </c>
      <c r="D253" s="199" t="s">
        <v>472</v>
      </c>
      <c r="E253" s="205" t="s">
        <v>306</v>
      </c>
      <c r="F253" s="206">
        <v>56.29</v>
      </c>
      <c r="G253" s="207">
        <v>47.9246179510089</v>
      </c>
      <c r="H253" s="201">
        <v>80.57</v>
      </c>
      <c r="I253" s="207">
        <v>21.45</v>
      </c>
      <c r="J253" s="196" t="str">
        <f t="shared" si="20"/>
        <v>G2      AUSILIARIO ……..……....……....…….….……..….......….…………….………………… Ausiliario Viaggiante (par. 122)</v>
      </c>
      <c r="K253" s="197"/>
      <c r="L253" s="197"/>
      <c r="M253" s="197"/>
      <c r="N253" s="197"/>
      <c r="O253" s="197"/>
      <c r="P253" s="147">
        <v>25</v>
      </c>
      <c r="Q253" s="147">
        <v>58</v>
      </c>
      <c r="R253" s="223"/>
      <c r="S253" s="147">
        <v>25</v>
      </c>
      <c r="T253" s="147">
        <v>58</v>
      </c>
      <c r="U253" s="147"/>
    </row>
    <row r="254" spans="1:21" ht="18" customHeight="1" hidden="1" thickBot="1">
      <c r="A254" s="148" t="str">
        <f t="shared" si="18"/>
        <v>G2-AUSILIARIO-Manutenzione Infrastrutture</v>
      </c>
      <c r="B254" s="147">
        <v>220</v>
      </c>
      <c r="C254" s="198" t="s">
        <v>402</v>
      </c>
      <c r="D254" s="199" t="s">
        <v>472</v>
      </c>
      <c r="E254" s="205" t="s">
        <v>250</v>
      </c>
      <c r="F254" s="206">
        <v>45.96</v>
      </c>
      <c r="G254" s="202">
        <v>41.72713516193506</v>
      </c>
      <c r="H254" s="206">
        <v>64</v>
      </c>
      <c r="I254" s="207">
        <v>21.45</v>
      </c>
      <c r="J254" s="196" t="str">
        <f t="shared" si="20"/>
        <v>G2      AUSILIARIO ……..……....……....…….….……..….......….…………….………………… Manutenzione Infrastrutture</v>
      </c>
      <c r="K254" s="197"/>
      <c r="L254" s="197"/>
      <c r="M254" s="197"/>
      <c r="N254" s="197"/>
      <c r="O254" s="197"/>
      <c r="P254" s="147">
        <v>25</v>
      </c>
      <c r="Q254" s="147">
        <v>65</v>
      </c>
      <c r="R254" s="223"/>
      <c r="S254" s="147">
        <v>25</v>
      </c>
      <c r="T254" s="147">
        <v>65</v>
      </c>
      <c r="U254" s="147"/>
    </row>
    <row r="255" spans="1:21" ht="18" customHeight="1" hidden="1" thickBot="1">
      <c r="A255" s="148" t="str">
        <f t="shared" si="18"/>
        <v>G2-AUSILIARIO-Manutenzione Rotabili</v>
      </c>
      <c r="B255" s="174">
        <v>221</v>
      </c>
      <c r="C255" s="198" t="s">
        <v>402</v>
      </c>
      <c r="D255" s="199" t="s">
        <v>472</v>
      </c>
      <c r="E255" s="205" t="s">
        <v>251</v>
      </c>
      <c r="F255" s="206">
        <v>45.96</v>
      </c>
      <c r="G255" s="202">
        <v>41.72713516193506</v>
      </c>
      <c r="H255" s="206">
        <v>78.07</v>
      </c>
      <c r="I255" s="207">
        <v>21.45</v>
      </c>
      <c r="J255" s="196" t="str">
        <f t="shared" si="20"/>
        <v>G2      AUSILIARIO ……..……....……....…….….……..….......….…………….………………… Manutenzione Rotabili</v>
      </c>
      <c r="K255" s="197"/>
      <c r="L255" s="197"/>
      <c r="M255" s="197"/>
      <c r="N255" s="197"/>
      <c r="O255" s="197"/>
      <c r="P255" s="147">
        <v>25</v>
      </c>
      <c r="Q255" s="147">
        <v>65</v>
      </c>
      <c r="R255" s="223"/>
      <c r="S255" s="147">
        <v>25</v>
      </c>
      <c r="T255" s="147">
        <v>65</v>
      </c>
      <c r="U255" s="147"/>
    </row>
    <row r="256" spans="1:21" ht="18" customHeight="1" hidden="1" thickBot="1">
      <c r="A256" s="148" t="str">
        <f t="shared" si="18"/>
        <v>G2-AUSILIARIO-Officine Navi Traghetto</v>
      </c>
      <c r="B256" s="147">
        <v>222</v>
      </c>
      <c r="C256" s="198" t="s">
        <v>402</v>
      </c>
      <c r="D256" s="199" t="s">
        <v>472</v>
      </c>
      <c r="E256" s="205" t="s">
        <v>252</v>
      </c>
      <c r="F256" s="206">
        <v>45.96</v>
      </c>
      <c r="G256" s="202">
        <v>41.72713516193506</v>
      </c>
      <c r="H256" s="206">
        <v>65.07</v>
      </c>
      <c r="I256" s="207">
        <v>21.45</v>
      </c>
      <c r="J256" s="196" t="str">
        <f t="shared" si="20"/>
        <v>G2      AUSILIARIO ……..……....……....…….….……..….......….…………….………………… Officine Navi Traghetto</v>
      </c>
      <c r="K256" s="197"/>
      <c r="L256" s="197"/>
      <c r="M256" s="197"/>
      <c r="N256" s="197"/>
      <c r="O256" s="197"/>
      <c r="P256" s="147">
        <v>25</v>
      </c>
      <c r="Q256" s="147">
        <v>58</v>
      </c>
      <c r="R256" s="223"/>
      <c r="S256" s="147">
        <v>25</v>
      </c>
      <c r="T256" s="147">
        <v>58</v>
      </c>
      <c r="U256" s="147"/>
    </row>
    <row r="257" spans="1:21" ht="18" customHeight="1" hidden="1" thickBot="1">
      <c r="A257" s="148" t="str">
        <f t="shared" si="18"/>
        <v>G2-AUSILIARIO-Officine Nazionali Infrastrutture</v>
      </c>
      <c r="B257" s="174">
        <v>223</v>
      </c>
      <c r="C257" s="198" t="s">
        <v>402</v>
      </c>
      <c r="D257" s="199" t="s">
        <v>472</v>
      </c>
      <c r="E257" s="205" t="s">
        <v>253</v>
      </c>
      <c r="F257" s="206">
        <v>45.96</v>
      </c>
      <c r="G257" s="202">
        <v>41.72713516193506</v>
      </c>
      <c r="H257" s="206">
        <v>78.07</v>
      </c>
      <c r="I257" s="207">
        <v>21.45</v>
      </c>
      <c r="J257" s="196" t="str">
        <f t="shared" si="20"/>
        <v>G2      AUSILIARIO ……..……....……....…….….……..….......….…………….………………… Officine Nazionali Infrastrutture</v>
      </c>
      <c r="K257" s="197"/>
      <c r="L257" s="197"/>
      <c r="M257" s="197"/>
      <c r="N257" s="197"/>
      <c r="O257" s="197"/>
      <c r="P257" s="147">
        <v>25</v>
      </c>
      <c r="Q257" s="147">
        <v>58</v>
      </c>
      <c r="R257" s="160"/>
      <c r="S257" s="147">
        <v>25</v>
      </c>
      <c r="T257" s="147">
        <v>58</v>
      </c>
      <c r="U257" s="147"/>
    </row>
    <row r="258" spans="1:21" ht="18" customHeight="1" hidden="1" thickBot="1">
      <c r="A258" s="148" t="str">
        <f t="shared" si="18"/>
        <v>G2-AUSILIARIO-Ex profilo non previsto</v>
      </c>
      <c r="B258" s="147">
        <v>224</v>
      </c>
      <c r="C258" s="198" t="s">
        <v>402</v>
      </c>
      <c r="D258" s="199" t="s">
        <v>472</v>
      </c>
      <c r="E258" s="200" t="s">
        <v>374</v>
      </c>
      <c r="F258" s="201">
        <v>45.96</v>
      </c>
      <c r="G258" s="202">
        <v>41.72713516193506</v>
      </c>
      <c r="H258" s="201">
        <v>80.57</v>
      </c>
      <c r="I258" s="202">
        <v>21.45</v>
      </c>
      <c r="J258" s="196" t="str">
        <f>CONCATENATE(C258,"      ",D258,"                    ",E258)</f>
        <v>G2      AUSILIARIO                    Ex profilo non previsto</v>
      </c>
      <c r="K258" s="197"/>
      <c r="L258" s="197"/>
      <c r="M258" s="197"/>
      <c r="N258" s="197"/>
      <c r="O258" s="197"/>
      <c r="P258" s="147">
        <v>30</v>
      </c>
      <c r="Q258" s="147">
        <v>65</v>
      </c>
      <c r="R258" s="160"/>
      <c r="S258" s="147">
        <v>30</v>
      </c>
      <c r="T258" s="147">
        <v>65</v>
      </c>
      <c r="U258" s="147"/>
    </row>
    <row r="259" spans="1:21" ht="18" customHeight="1" hidden="1" thickBot="1">
      <c r="A259" s="148" t="str">
        <f t="shared" si="18"/>
        <v>G2-CARBONAIO-Carbonaio (par. 122)</v>
      </c>
      <c r="B259" s="174">
        <v>225</v>
      </c>
      <c r="C259" s="198" t="s">
        <v>402</v>
      </c>
      <c r="D259" s="204" t="s">
        <v>474</v>
      </c>
      <c r="E259" s="205" t="s">
        <v>307</v>
      </c>
      <c r="F259" s="206">
        <v>144.61</v>
      </c>
      <c r="G259" s="207">
        <v>100.91309579759022</v>
      </c>
      <c r="H259" s="206">
        <v>129.11</v>
      </c>
      <c r="I259" s="207">
        <v>21.45</v>
      </c>
      <c r="J259" s="196" t="str">
        <f>CONCATENATE(C259,"      ",D259," ……….…....….…....…….……..…....….….…………….………………… ",E259)</f>
        <v>G2      CARBONAIO ……….…....….…....…….……..…....….….…………….………………… Carbonaio (par. 122)</v>
      </c>
      <c r="K259" s="197"/>
      <c r="L259" s="197"/>
      <c r="M259" s="197"/>
      <c r="N259" s="197"/>
      <c r="O259" s="197"/>
      <c r="P259" s="147">
        <v>25</v>
      </c>
      <c r="Q259" s="147">
        <v>58</v>
      </c>
      <c r="R259" s="160"/>
      <c r="S259" s="147">
        <v>25</v>
      </c>
      <c r="T259" s="147">
        <v>58</v>
      </c>
      <c r="U259" s="147"/>
    </row>
    <row r="260" spans="1:21" ht="18" customHeight="1" hidden="1" thickBot="1">
      <c r="A260" s="148" t="str">
        <f t="shared" si="18"/>
        <v>G2-GARZONE DI CAMERA-Garzone di Camera</v>
      </c>
      <c r="B260" s="147">
        <v>226</v>
      </c>
      <c r="C260" s="203" t="s">
        <v>402</v>
      </c>
      <c r="D260" s="204" t="s">
        <v>475</v>
      </c>
      <c r="E260" s="205" t="s">
        <v>308</v>
      </c>
      <c r="F260" s="206">
        <v>144.61</v>
      </c>
      <c r="G260" s="207">
        <v>100.91309579759022</v>
      </c>
      <c r="H260" s="206">
        <v>129.11</v>
      </c>
      <c r="I260" s="207">
        <v>21.45</v>
      </c>
      <c r="J260" s="196" t="str">
        <f>CONCATENATE(C260,"      ",D260," …..….…....…..….…..….….…………….………………… ",E260)</f>
        <v>G2      GARZONE DI CAMERA …..….…....…..….…..….….…………….………………… Garzone di Camera</v>
      </c>
      <c r="K260" s="197"/>
      <c r="L260" s="197"/>
      <c r="M260" s="197"/>
      <c r="N260" s="197"/>
      <c r="O260" s="197"/>
      <c r="P260" s="147">
        <v>25</v>
      </c>
      <c r="Q260" s="147">
        <v>58</v>
      </c>
      <c r="R260" s="160"/>
      <c r="S260" s="147">
        <v>25</v>
      </c>
      <c r="T260" s="147">
        <v>58</v>
      </c>
      <c r="U260" s="147"/>
    </row>
    <row r="261" spans="1:21" ht="18" customHeight="1" hidden="1" thickBot="1">
      <c r="A261" s="148" t="str">
        <f t="shared" si="18"/>
        <v>G2-GARZONE DI CUCINA-Garzone di Cucina</v>
      </c>
      <c r="B261" s="174">
        <v>227</v>
      </c>
      <c r="C261" s="203" t="s">
        <v>402</v>
      </c>
      <c r="D261" s="204" t="s">
        <v>476</v>
      </c>
      <c r="E261" s="205" t="s">
        <v>309</v>
      </c>
      <c r="F261" s="206">
        <v>144.61</v>
      </c>
      <c r="G261" s="207">
        <v>100.91309579759022</v>
      </c>
      <c r="H261" s="206">
        <v>129.11</v>
      </c>
      <c r="I261" s="207">
        <v>21.45</v>
      </c>
      <c r="J261" s="196" t="str">
        <f>CONCATENATE(C261,"      ",D261," …...…...…....…..….…..….….…………….………………… ",E261)</f>
        <v>G2      GARZONE DI CUCINA …...…...…....…..….…..….….…………….………………… Garzone di Cucina</v>
      </c>
      <c r="K261" s="197"/>
      <c r="L261" s="197"/>
      <c r="M261" s="197"/>
      <c r="N261" s="197"/>
      <c r="O261" s="197"/>
      <c r="P261" s="147">
        <v>25</v>
      </c>
      <c r="Q261" s="147">
        <v>58</v>
      </c>
      <c r="R261" s="160"/>
      <c r="S261" s="147">
        <v>25</v>
      </c>
      <c r="T261" s="147">
        <v>58</v>
      </c>
      <c r="U261" s="147"/>
    </row>
    <row r="262" spans="1:21" ht="18" customHeight="1" hidden="1" thickBot="1">
      <c r="A262" s="148" t="str">
        <f t="shared" si="18"/>
        <v>G2-GIOVANOTTO DI COPERTA-Giovanotto di Coperta</v>
      </c>
      <c r="B262" s="147">
        <v>228</v>
      </c>
      <c r="C262" s="208" t="s">
        <v>402</v>
      </c>
      <c r="D262" s="209" t="s">
        <v>477</v>
      </c>
      <c r="E262" s="205" t="s">
        <v>310</v>
      </c>
      <c r="F262" s="210">
        <v>144.61</v>
      </c>
      <c r="G262" s="211">
        <v>100.91309579759022</v>
      </c>
      <c r="H262" s="210">
        <v>129.11</v>
      </c>
      <c r="I262" s="211">
        <v>21.45</v>
      </c>
      <c r="J262" s="196" t="str">
        <f>CONCATENATE(C262,"      ",D262," …..….….….…..….….…………….………………… ",E262)</f>
        <v>G2      GIOVANOTTO DI COPERTA …..….….….…..….….…………….………………… Giovanotto di Coperta</v>
      </c>
      <c r="K262" s="197"/>
      <c r="L262" s="197"/>
      <c r="M262" s="197"/>
      <c r="N262" s="197"/>
      <c r="O262" s="197"/>
      <c r="P262" s="147">
        <v>25</v>
      </c>
      <c r="Q262" s="147">
        <v>58</v>
      </c>
      <c r="R262" s="160"/>
      <c r="S262" s="147">
        <v>25</v>
      </c>
      <c r="T262" s="147">
        <v>58</v>
      </c>
      <c r="U262" s="147"/>
    </row>
    <row r="263" spans="1:21" ht="18" customHeight="1" hidden="1" thickBot="1">
      <c r="A263" s="148" t="str">
        <f t="shared" si="18"/>
        <v>H-ALLIEVO COMUNE POLIVALENTE-Allievo Comune Polivalente</v>
      </c>
      <c r="B263" s="174">
        <v>229</v>
      </c>
      <c r="C263" s="198" t="s">
        <v>403</v>
      </c>
      <c r="D263" s="199" t="s">
        <v>478</v>
      </c>
      <c r="E263" s="205" t="s">
        <v>311</v>
      </c>
      <c r="F263" s="201">
        <v>144.61</v>
      </c>
      <c r="G263" s="202">
        <v>98.36179871608815</v>
      </c>
      <c r="H263" s="201">
        <v>129.11</v>
      </c>
      <c r="I263" s="202">
        <v>21.586374033580114</v>
      </c>
      <c r="J263" s="196" t="str">
        <f>CONCATENATE(C263,"      ",D263," …….….…....…….………….………………… ",E263)</f>
        <v>H      ALLIEVO COMUNE POLIVALENTE …….….…....…….………….………………… Allievo Comune Polivalente</v>
      </c>
      <c r="K263" s="197"/>
      <c r="L263" s="197"/>
      <c r="M263" s="197"/>
      <c r="N263" s="197"/>
      <c r="O263" s="197"/>
      <c r="P263" s="147">
        <v>30</v>
      </c>
      <c r="Q263" s="147">
        <v>65</v>
      </c>
      <c r="R263" s="160"/>
      <c r="S263" s="147">
        <v>30</v>
      </c>
      <c r="T263" s="147">
        <v>65</v>
      </c>
      <c r="U263" s="147"/>
    </row>
    <row r="264" spans="1:21" ht="18" customHeight="1" hidden="1" thickBot="1">
      <c r="A264" s="148" t="str">
        <f t="shared" si="18"/>
        <v>H-MANOVALE-Ex profilo non previsto</v>
      </c>
      <c r="B264" s="147">
        <v>230</v>
      </c>
      <c r="C264" s="203" t="s">
        <v>403</v>
      </c>
      <c r="D264" s="204" t="s">
        <v>479</v>
      </c>
      <c r="E264" s="200" t="s">
        <v>374</v>
      </c>
      <c r="F264" s="206">
        <v>0</v>
      </c>
      <c r="G264" s="207">
        <v>0</v>
      </c>
      <c r="H264" s="206">
        <v>38.73</v>
      </c>
      <c r="I264" s="207">
        <v>21.586374033580114</v>
      </c>
      <c r="J264" s="196" t="str">
        <f>CONCATENATE(C264,"      ",D264,"                    ",E264)</f>
        <v>H      MANOVALE                    Ex profilo non previsto</v>
      </c>
      <c r="K264" s="197"/>
      <c r="L264" s="197"/>
      <c r="M264" s="197"/>
      <c r="N264" s="197"/>
      <c r="O264" s="197"/>
      <c r="P264" s="147">
        <v>30</v>
      </c>
      <c r="Q264" s="147">
        <v>65</v>
      </c>
      <c r="R264" s="160"/>
      <c r="S264" s="147">
        <v>30</v>
      </c>
      <c r="T264" s="147">
        <v>65</v>
      </c>
      <c r="U264" s="147"/>
    </row>
    <row r="265" spans="1:21" ht="18" customHeight="1" hidden="1" thickBot="1">
      <c r="A265" s="148" t="str">
        <f t="shared" si="18"/>
        <v>H-MOZZO-Mozzo</v>
      </c>
      <c r="B265" s="174">
        <v>231</v>
      </c>
      <c r="C265" s="203" t="s">
        <v>403</v>
      </c>
      <c r="D265" s="204" t="s">
        <v>480</v>
      </c>
      <c r="E265" s="205" t="s">
        <v>312</v>
      </c>
      <c r="F265" s="206">
        <v>144.61</v>
      </c>
      <c r="G265" s="207">
        <v>98.36179871608815</v>
      </c>
      <c r="H265" s="206">
        <v>129.11</v>
      </c>
      <c r="I265" s="207">
        <v>21.586374033580114</v>
      </c>
      <c r="J265" s="196" t="str">
        <f>CONCATENATE(C265,"      ",D265," ……….…....….…....…….……..…………........….….…………….………………… ",E265)</f>
        <v>H      MOZZO ……….…....….…....…….……..…………........….….…………….………………… Mozzo</v>
      </c>
      <c r="K265" s="197"/>
      <c r="L265" s="197"/>
      <c r="M265" s="197"/>
      <c r="N265" s="197"/>
      <c r="O265" s="197"/>
      <c r="P265" s="147">
        <v>30</v>
      </c>
      <c r="Q265" s="147">
        <v>65</v>
      </c>
      <c r="R265" s="160"/>
      <c r="S265" s="147">
        <v>30</v>
      </c>
      <c r="T265" s="147">
        <v>65</v>
      </c>
      <c r="U265" s="147"/>
    </row>
    <row r="266" spans="1:21" ht="18" customHeight="1" hidden="1" thickBot="1">
      <c r="A266" s="148" t="str">
        <f t="shared" si="18"/>
        <v>H-PICCOLO DI CAMERA-Piccolo di Camera</v>
      </c>
      <c r="B266" s="147">
        <v>232</v>
      </c>
      <c r="C266" s="203" t="s">
        <v>403</v>
      </c>
      <c r="D266" s="204" t="s">
        <v>481</v>
      </c>
      <c r="E266" s="205" t="s">
        <v>313</v>
      </c>
      <c r="F266" s="206">
        <v>144.61</v>
      </c>
      <c r="G266" s="207">
        <v>98.36179871608815</v>
      </c>
      <c r="H266" s="206">
        <v>129.11</v>
      </c>
      <c r="I266" s="207">
        <v>21.586374033580114</v>
      </c>
      <c r="J266" s="196" t="str">
        <f>CONCATENATE(C266,"      ",D266," ………....….…....…….……..…....….……….………………… ",E266)</f>
        <v>H      PICCOLO DI CAMERA ………....….…....…….……..…....….……….………………… Piccolo di Camera</v>
      </c>
      <c r="K266" s="197"/>
      <c r="L266" s="197"/>
      <c r="M266" s="197"/>
      <c r="N266" s="197"/>
      <c r="O266" s="197"/>
      <c r="P266" s="147">
        <v>30</v>
      </c>
      <c r="Q266" s="147">
        <v>65</v>
      </c>
      <c r="R266" s="160"/>
      <c r="S266" s="147">
        <v>30</v>
      </c>
      <c r="T266" s="147">
        <v>65</v>
      </c>
      <c r="U266" s="147"/>
    </row>
    <row r="267" spans="1:21" ht="18" customHeight="1" hidden="1" thickBot="1">
      <c r="A267" s="148" t="str">
        <f t="shared" si="18"/>
        <v>H-PICCOLO DI CUCINA-Piccolo di Cucina</v>
      </c>
      <c r="B267" s="174">
        <v>233</v>
      </c>
      <c r="C267" s="208" t="s">
        <v>403</v>
      </c>
      <c r="D267" s="209" t="s">
        <v>482</v>
      </c>
      <c r="E267" s="205" t="s">
        <v>314</v>
      </c>
      <c r="F267" s="210">
        <v>144.61</v>
      </c>
      <c r="G267" s="211">
        <v>98.36179871608815</v>
      </c>
      <c r="H267" s="210">
        <v>129.11</v>
      </c>
      <c r="I267" s="211">
        <v>21.586374033580114</v>
      </c>
      <c r="J267" s="196" t="str">
        <f>CONCATENATE(C267,"      ",D267," ………..……....….…....…….……..…....….…..………………… ",E267)</f>
        <v>H      PICCOLO DI CUCINA ………..……....….…....…….……..…....….…..………………… Piccolo di Cucina</v>
      </c>
      <c r="K267" s="197"/>
      <c r="L267" s="197"/>
      <c r="M267" s="197"/>
      <c r="N267" s="197"/>
      <c r="O267" s="197"/>
      <c r="P267" s="147">
        <v>30</v>
      </c>
      <c r="Q267" s="147">
        <v>65</v>
      </c>
      <c r="R267" s="160"/>
      <c r="S267" s="147">
        <v>30</v>
      </c>
      <c r="T267" s="147">
        <v>65</v>
      </c>
      <c r="U267" s="147"/>
    </row>
    <row r="268" spans="2:21" ht="11.25" hidden="1">
      <c r="B268" s="147"/>
      <c r="C268" s="147"/>
      <c r="D268" s="147"/>
      <c r="E268" s="147"/>
      <c r="F268" s="228"/>
      <c r="G268" s="162"/>
      <c r="H268" s="163"/>
      <c r="I268" s="163"/>
      <c r="J268" s="171"/>
      <c r="K268" s="90"/>
      <c r="L268" s="90"/>
      <c r="M268" s="90"/>
      <c r="N268" s="90"/>
      <c r="O268" s="90"/>
      <c r="P268" s="90"/>
      <c r="Q268" s="160"/>
      <c r="R268" s="160"/>
      <c r="S268" s="147"/>
      <c r="T268" s="147"/>
      <c r="U268" s="147"/>
    </row>
    <row r="269" spans="5:18" ht="11.25" hidden="1">
      <c r="E269" s="229"/>
      <c r="F269" s="230"/>
      <c r="R269" s="234"/>
    </row>
    <row r="270" spans="5:18" ht="11.25" hidden="1">
      <c r="E270" s="229"/>
      <c r="F270" s="230"/>
      <c r="R270" s="234"/>
    </row>
    <row r="271" spans="6:18" ht="11.25" hidden="1">
      <c r="F271" s="235"/>
      <c r="R271" s="234"/>
    </row>
    <row r="272" spans="6:18" ht="11.25" hidden="1">
      <c r="F272" s="235"/>
      <c r="R272" s="165"/>
    </row>
    <row r="273" spans="6:18" ht="11.25" hidden="1">
      <c r="F273" s="235"/>
      <c r="J273" s="148"/>
      <c r="R273" s="165"/>
    </row>
    <row r="274" spans="6:18" ht="12.75" hidden="1">
      <c r="F274" s="235"/>
      <c r="K274" s="236"/>
      <c r="L274" s="236"/>
      <c r="M274" s="236"/>
      <c r="N274" s="236"/>
      <c r="R274" s="165"/>
    </row>
    <row r="275" spans="6:18" ht="12.75" hidden="1">
      <c r="F275" s="235"/>
      <c r="O275" s="236"/>
      <c r="P275" s="236"/>
      <c r="R275" s="236"/>
    </row>
    <row r="276" spans="4:18" ht="12.75" hidden="1">
      <c r="D276" s="237" t="s">
        <v>483</v>
      </c>
      <c r="F276" s="235"/>
      <c r="G276" s="238">
        <v>2.2</v>
      </c>
      <c r="K276" s="239"/>
      <c r="L276" s="239"/>
      <c r="M276" s="240"/>
      <c r="R276" s="165"/>
    </row>
    <row r="277" spans="4:18" ht="12.75" hidden="1">
      <c r="D277" s="237" t="s">
        <v>484</v>
      </c>
      <c r="F277" s="235"/>
      <c r="G277" s="238">
        <v>18</v>
      </c>
      <c r="K277" s="239"/>
      <c r="L277" s="239"/>
      <c r="M277" s="240"/>
      <c r="R277" s="165"/>
    </row>
    <row r="278" spans="4:18" ht="12.75" hidden="1">
      <c r="D278" s="237" t="s">
        <v>485</v>
      </c>
      <c r="F278" s="235"/>
      <c r="G278" s="238">
        <v>60</v>
      </c>
      <c r="K278" s="239"/>
      <c r="L278" s="239"/>
      <c r="M278" s="240"/>
      <c r="R278" s="165"/>
    </row>
    <row r="279" spans="4:18" ht="12.75" hidden="1">
      <c r="D279" s="237" t="s">
        <v>486</v>
      </c>
      <c r="F279" s="235"/>
      <c r="G279" s="238">
        <v>0.29473</v>
      </c>
      <c r="K279" s="239"/>
      <c r="L279" s="239"/>
      <c r="M279" s="240"/>
      <c r="R279" s="165"/>
    </row>
    <row r="280" spans="4:18" ht="12.75" hidden="1">
      <c r="D280" s="237" t="s">
        <v>487</v>
      </c>
      <c r="F280" s="235"/>
      <c r="G280" s="238">
        <v>12</v>
      </c>
      <c r="I280" s="232" t="s">
        <v>488</v>
      </c>
      <c r="K280" s="239"/>
      <c r="L280" s="239"/>
      <c r="M280" s="240"/>
      <c r="R280" s="165"/>
    </row>
    <row r="281" spans="4:18" ht="12.75" hidden="1">
      <c r="D281" s="237" t="s">
        <v>489</v>
      </c>
      <c r="F281" s="235"/>
      <c r="G281" s="238">
        <v>32</v>
      </c>
      <c r="I281" s="232" t="s">
        <v>488</v>
      </c>
      <c r="K281" s="239"/>
      <c r="L281" s="239"/>
      <c r="M281" s="240"/>
      <c r="R281" s="165"/>
    </row>
    <row r="282" spans="4:18" ht="12.75" hidden="1">
      <c r="D282" s="237" t="s">
        <v>490</v>
      </c>
      <c r="F282" s="235"/>
      <c r="G282" s="238">
        <v>1.33333</v>
      </c>
      <c r="K282" s="239"/>
      <c r="L282" s="239"/>
      <c r="M282" s="240"/>
      <c r="R282" s="165"/>
    </row>
    <row r="283" spans="4:18" ht="12.75" hidden="1">
      <c r="D283" s="237" t="s">
        <v>491</v>
      </c>
      <c r="F283" s="235"/>
      <c r="G283" s="238">
        <v>45</v>
      </c>
      <c r="K283" s="239"/>
      <c r="L283" s="239"/>
      <c r="M283" s="240"/>
      <c r="R283" s="165"/>
    </row>
    <row r="284" spans="4:18" ht="12.75" hidden="1">
      <c r="D284" s="237" t="s">
        <v>492</v>
      </c>
      <c r="F284" s="235"/>
      <c r="G284" s="238">
        <v>1.875</v>
      </c>
      <c r="K284" s="239"/>
      <c r="L284" s="239"/>
      <c r="M284" s="240"/>
      <c r="R284" s="165"/>
    </row>
    <row r="285" spans="4:18" ht="12.75" hidden="1">
      <c r="D285" s="237" t="s">
        <v>493</v>
      </c>
      <c r="F285" s="235"/>
      <c r="G285" s="238">
        <v>0.11</v>
      </c>
      <c r="K285" s="239"/>
      <c r="L285" s="239"/>
      <c r="M285" s="240"/>
      <c r="R285" s="165"/>
    </row>
    <row r="286" spans="4:18" ht="12.75" hidden="1">
      <c r="D286" s="237" t="s">
        <v>494</v>
      </c>
      <c r="F286" s="235"/>
      <c r="G286" s="238">
        <v>2</v>
      </c>
      <c r="K286" s="239"/>
      <c r="L286" s="239"/>
      <c r="M286" s="240"/>
      <c r="R286" s="165"/>
    </row>
    <row r="287" spans="3:18" ht="12.75" hidden="1">
      <c r="C287" s="148">
        <v>3</v>
      </c>
      <c r="D287" s="237" t="s">
        <v>495</v>
      </c>
      <c r="F287" s="235"/>
      <c r="G287" s="238">
        <v>0.8</v>
      </c>
      <c r="I287" s="241" t="s">
        <v>496</v>
      </c>
      <c r="K287" s="239"/>
      <c r="L287" s="239"/>
      <c r="M287" s="240"/>
      <c r="R287" s="165"/>
    </row>
    <row r="288" spans="4:18" ht="12.75" hidden="1">
      <c r="D288" s="237" t="s">
        <v>497</v>
      </c>
      <c r="F288" s="235"/>
      <c r="G288" s="238">
        <v>5.2</v>
      </c>
      <c r="I288" s="241" t="s">
        <v>496</v>
      </c>
      <c r="K288" s="239"/>
      <c r="L288" s="239"/>
      <c r="M288" s="240"/>
      <c r="R288" s="165"/>
    </row>
    <row r="289" spans="4:18" ht="12.75" hidden="1">
      <c r="D289" s="237" t="s">
        <v>498</v>
      </c>
      <c r="F289" s="237"/>
      <c r="G289" s="238">
        <v>17</v>
      </c>
      <c r="I289" s="241" t="s">
        <v>499</v>
      </c>
      <c r="K289" s="239"/>
      <c r="L289" s="239"/>
      <c r="M289" s="240"/>
      <c r="R289" s="165"/>
    </row>
    <row r="290" spans="4:18" ht="12.75" hidden="1">
      <c r="D290" s="237" t="s">
        <v>500</v>
      </c>
      <c r="F290" s="237"/>
      <c r="G290" s="238">
        <v>11.35</v>
      </c>
      <c r="I290" s="241" t="s">
        <v>499</v>
      </c>
      <c r="K290" s="239"/>
      <c r="L290" s="239"/>
      <c r="M290" s="240"/>
      <c r="R290" s="165"/>
    </row>
    <row r="291" spans="4:18" ht="12.75" hidden="1">
      <c r="D291" s="237" t="s">
        <v>501</v>
      </c>
      <c r="E291" s="237"/>
      <c r="F291" s="237"/>
      <c r="G291" s="238">
        <v>0.85</v>
      </c>
      <c r="I291" s="241" t="s">
        <v>499</v>
      </c>
      <c r="K291" s="239"/>
      <c r="L291" s="239"/>
      <c r="M291" s="240"/>
      <c r="R291" s="165"/>
    </row>
    <row r="292" spans="4:18" ht="12.75" hidden="1">
      <c r="D292" s="237" t="s">
        <v>502</v>
      </c>
      <c r="E292" s="237"/>
      <c r="F292" s="237"/>
      <c r="G292" s="238">
        <v>1.7</v>
      </c>
      <c r="K292" s="242"/>
      <c r="L292" s="239"/>
      <c r="M292" s="243"/>
      <c r="N292" s="243"/>
      <c r="R292" s="165"/>
    </row>
    <row r="293" spans="4:18" ht="12.75" hidden="1">
      <c r="D293" s="237" t="s">
        <v>503</v>
      </c>
      <c r="E293" s="237"/>
      <c r="F293" s="237"/>
      <c r="G293" s="238">
        <v>1.9</v>
      </c>
      <c r="K293" s="244"/>
      <c r="L293" s="239"/>
      <c r="M293" s="243"/>
      <c r="N293" s="243"/>
      <c r="O293" s="243"/>
      <c r="P293" s="243"/>
      <c r="R293" s="243"/>
    </row>
    <row r="294" spans="4:18" ht="12.75" hidden="1">
      <c r="D294" s="237" t="s">
        <v>504</v>
      </c>
      <c r="F294" s="235"/>
      <c r="G294" s="238">
        <v>30</v>
      </c>
      <c r="O294" s="243"/>
      <c r="P294" s="243"/>
      <c r="R294" s="243"/>
    </row>
    <row r="295" spans="4:18" ht="12.75" hidden="1">
      <c r="D295" s="237" t="s">
        <v>505</v>
      </c>
      <c r="E295" s="237"/>
      <c r="F295" s="237"/>
      <c r="G295" s="238">
        <v>4.6</v>
      </c>
      <c r="J295" s="245" t="s">
        <v>506</v>
      </c>
      <c r="K295" s="239">
        <f>K292-64.55</f>
        <v>-64.55</v>
      </c>
      <c r="L295" s="239">
        <f aca="true" t="shared" si="21" ref="L295:L303">K276</f>
        <v>0</v>
      </c>
      <c r="R295" s="165"/>
    </row>
    <row r="296" spans="4:18" ht="12.75" hidden="1">
      <c r="D296" s="237" t="s">
        <v>507</v>
      </c>
      <c r="E296" s="237"/>
      <c r="F296" s="237"/>
      <c r="G296" s="238">
        <v>5.52</v>
      </c>
      <c r="K296" s="165">
        <v>2.86</v>
      </c>
      <c r="L296" s="239">
        <f t="shared" si="21"/>
        <v>0</v>
      </c>
      <c r="R296" s="234"/>
    </row>
    <row r="297" spans="4:18" ht="12.75" hidden="1">
      <c r="D297" s="237" t="s">
        <v>508</v>
      </c>
      <c r="E297" s="237"/>
      <c r="F297" s="237"/>
      <c r="G297" s="238">
        <v>3.7</v>
      </c>
      <c r="K297" s="165">
        <v>2.46</v>
      </c>
      <c r="L297" s="239">
        <f t="shared" si="21"/>
        <v>0</v>
      </c>
      <c r="R297" s="234"/>
    </row>
    <row r="298" spans="4:18" ht="12.75" hidden="1">
      <c r="D298" s="237" t="s">
        <v>509</v>
      </c>
      <c r="E298" s="237"/>
      <c r="F298" s="237"/>
      <c r="G298" s="238">
        <v>4.44</v>
      </c>
      <c r="L298" s="239">
        <f t="shared" si="21"/>
        <v>0</v>
      </c>
      <c r="R298" s="234"/>
    </row>
    <row r="299" spans="4:18" ht="12.75" hidden="1">
      <c r="D299" s="237" t="s">
        <v>510</v>
      </c>
      <c r="E299" s="237"/>
      <c r="F299" s="237"/>
      <c r="G299" s="238"/>
      <c r="L299" s="239">
        <f t="shared" si="21"/>
        <v>0</v>
      </c>
      <c r="R299" s="234"/>
    </row>
    <row r="300" spans="4:18" ht="12.75" hidden="1">
      <c r="D300" s="237" t="s">
        <v>511</v>
      </c>
      <c r="E300" s="237"/>
      <c r="F300" s="237"/>
      <c r="G300" s="238">
        <v>11</v>
      </c>
      <c r="I300" s="246">
        <v>5.288518</v>
      </c>
      <c r="K300" s="239">
        <f>K295-K296-K297-K298-K299</f>
        <v>-69.86999999999999</v>
      </c>
      <c r="L300" s="239">
        <f t="shared" si="21"/>
        <v>0</v>
      </c>
      <c r="Q300" s="148"/>
      <c r="R300" s="234"/>
    </row>
    <row r="301" spans="4:18" ht="12.75" hidden="1">
      <c r="D301" s="237" t="s">
        <v>512</v>
      </c>
      <c r="E301" s="237"/>
      <c r="F301" s="237"/>
      <c r="G301" s="238">
        <v>5.28852</v>
      </c>
      <c r="I301" s="247">
        <v>0.91148</v>
      </c>
      <c r="L301" s="239">
        <f t="shared" si="21"/>
        <v>0</v>
      </c>
      <c r="Q301" s="148"/>
      <c r="R301" s="234"/>
    </row>
    <row r="302" spans="4:18" ht="12.75" hidden="1">
      <c r="D302" s="237" t="s">
        <v>513</v>
      </c>
      <c r="E302" s="237"/>
      <c r="F302" s="237"/>
      <c r="G302" s="238">
        <v>6.2</v>
      </c>
      <c r="L302" s="239">
        <f t="shared" si="21"/>
        <v>0</v>
      </c>
      <c r="R302" s="234"/>
    </row>
    <row r="303" spans="4:18" ht="12.75" hidden="1">
      <c r="D303" s="237" t="s">
        <v>514</v>
      </c>
      <c r="E303" s="248"/>
      <c r="F303" s="148"/>
      <c r="G303" s="238">
        <v>5.16</v>
      </c>
      <c r="L303" s="239">
        <f t="shared" si="21"/>
        <v>0</v>
      </c>
      <c r="R303" s="234"/>
    </row>
    <row r="304" spans="4:18" ht="12.75" hidden="1">
      <c r="D304" s="237" t="s">
        <v>516</v>
      </c>
      <c r="E304" s="248"/>
      <c r="F304" s="148"/>
      <c r="G304" s="238">
        <v>1.2</v>
      </c>
      <c r="H304" s="148"/>
      <c r="I304" s="232" t="s">
        <v>517</v>
      </c>
      <c r="K304" s="239">
        <f>K285</f>
        <v>0</v>
      </c>
      <c r="R304" s="234"/>
    </row>
    <row r="305" spans="4:18" ht="12.75" hidden="1">
      <c r="D305" s="237" t="s">
        <v>518</v>
      </c>
      <c r="E305" s="248"/>
      <c r="F305" s="148"/>
      <c r="G305" s="238">
        <v>2.1</v>
      </c>
      <c r="K305" s="239">
        <f>K286</f>
        <v>0</v>
      </c>
      <c r="R305" s="234"/>
    </row>
    <row r="306" spans="4:18" ht="12.75" hidden="1">
      <c r="D306" s="237" t="s">
        <v>519</v>
      </c>
      <c r="E306" s="248"/>
      <c r="F306" s="148"/>
      <c r="G306" s="238">
        <v>0.9</v>
      </c>
      <c r="L306" s="239">
        <f>K287</f>
        <v>0</v>
      </c>
      <c r="R306" s="234"/>
    </row>
    <row r="307" spans="4:18" ht="12.75" hidden="1">
      <c r="D307" s="237" t="s">
        <v>520</v>
      </c>
      <c r="E307" s="248"/>
      <c r="F307" s="148"/>
      <c r="G307" s="238">
        <v>2.8</v>
      </c>
      <c r="L307" s="239">
        <f>K288</f>
        <v>0</v>
      </c>
      <c r="R307" s="234"/>
    </row>
    <row r="308" spans="4:18" ht="12.75" hidden="1">
      <c r="D308" s="237" t="s">
        <v>521</v>
      </c>
      <c r="E308" s="237"/>
      <c r="F308" s="237"/>
      <c r="G308" s="238">
        <v>0.83</v>
      </c>
      <c r="K308" s="239">
        <f>K289</f>
        <v>0</v>
      </c>
      <c r="R308" s="234"/>
    </row>
    <row r="309" spans="4:18" ht="12.75" hidden="1">
      <c r="D309" s="237" t="s">
        <v>522</v>
      </c>
      <c r="E309" s="237"/>
      <c r="F309" s="237"/>
      <c r="G309" s="238">
        <v>19</v>
      </c>
      <c r="L309" s="239">
        <f>K290</f>
        <v>0</v>
      </c>
      <c r="R309" s="234"/>
    </row>
    <row r="310" spans="4:18" ht="12.75" hidden="1">
      <c r="D310" s="237" t="s">
        <v>1</v>
      </c>
      <c r="F310" s="235"/>
      <c r="G310" s="238">
        <v>32</v>
      </c>
      <c r="L310" s="239">
        <f>K291</f>
        <v>0</v>
      </c>
      <c r="R310" s="234"/>
    </row>
    <row r="311" spans="4:18" ht="12.75" hidden="1">
      <c r="D311" s="237" t="s">
        <v>2</v>
      </c>
      <c r="F311" s="235"/>
      <c r="G311" s="238">
        <v>13.5</v>
      </c>
      <c r="L311" s="239">
        <f>SUM(L295:L310)</f>
        <v>0</v>
      </c>
      <c r="R311" s="234"/>
    </row>
    <row r="312" spans="4:18" ht="12.75" hidden="1">
      <c r="D312" s="237" t="s">
        <v>3</v>
      </c>
      <c r="F312" s="235"/>
      <c r="G312" s="238">
        <v>31</v>
      </c>
      <c r="L312" s="165">
        <v>64.55</v>
      </c>
      <c r="R312" s="234"/>
    </row>
    <row r="313" spans="4:18" ht="12.75" hidden="1">
      <c r="D313" s="237" t="s">
        <v>4</v>
      </c>
      <c r="G313" s="238">
        <v>57</v>
      </c>
      <c r="L313" s="165">
        <f>L312-L311</f>
        <v>64.55</v>
      </c>
      <c r="R313" s="234"/>
    </row>
    <row r="314" spans="4:18" ht="12.75" hidden="1">
      <c r="D314" s="237" t="s">
        <v>5</v>
      </c>
      <c r="G314" s="238">
        <v>1.03</v>
      </c>
      <c r="R314" s="234"/>
    </row>
    <row r="315" spans="4:18" ht="12.75" hidden="1">
      <c r="D315" s="237" t="s">
        <v>6</v>
      </c>
      <c r="F315" s="235"/>
      <c r="G315" s="238">
        <v>7.75</v>
      </c>
      <c r="R315" s="234"/>
    </row>
    <row r="316" spans="4:18" ht="12.75" hidden="1">
      <c r="D316" s="237" t="s">
        <v>7</v>
      </c>
      <c r="F316" s="235"/>
      <c r="G316" s="238">
        <v>3</v>
      </c>
      <c r="R316" s="234"/>
    </row>
    <row r="317" spans="4:18" ht="12.75" hidden="1">
      <c r="D317" s="237" t="s">
        <v>8</v>
      </c>
      <c r="F317" s="235"/>
      <c r="G317" s="238">
        <v>1.81</v>
      </c>
      <c r="R317" s="234"/>
    </row>
    <row r="318" spans="4:18" ht="12.75" hidden="1">
      <c r="D318" s="237" t="s">
        <v>9</v>
      </c>
      <c r="F318" s="235"/>
      <c r="G318" s="238">
        <v>15</v>
      </c>
      <c r="R318" s="234"/>
    </row>
    <row r="319" spans="4:18" ht="12.75" hidden="1">
      <c r="D319" s="237" t="s">
        <v>10</v>
      </c>
      <c r="F319" s="235"/>
      <c r="G319" s="238">
        <v>8</v>
      </c>
      <c r="R319" s="234"/>
    </row>
    <row r="320" spans="4:18" ht="12.75" hidden="1">
      <c r="D320" s="237"/>
      <c r="F320" s="235"/>
      <c r="R320" s="234"/>
    </row>
    <row r="321" spans="4:18" ht="12.75" hidden="1">
      <c r="D321" s="237"/>
      <c r="F321" s="235"/>
      <c r="G321" s="250">
        <v>0.0005</v>
      </c>
      <c r="M321" s="251"/>
      <c r="R321" s="234"/>
    </row>
    <row r="322" spans="4:18" ht="12.75" hidden="1">
      <c r="D322" s="237"/>
      <c r="F322" s="235"/>
      <c r="G322" s="250">
        <v>0.33</v>
      </c>
      <c r="R322" s="234"/>
    </row>
    <row r="323" spans="4:18" ht="13.5" hidden="1" thickBot="1">
      <c r="D323" s="237"/>
      <c r="F323" s="235"/>
      <c r="G323" s="250">
        <v>1</v>
      </c>
      <c r="R323" s="234"/>
    </row>
    <row r="324" spans="4:18" ht="180.75" hidden="1" thickBot="1">
      <c r="D324" s="252" t="s">
        <v>384</v>
      </c>
      <c r="E324" s="253" t="s">
        <v>385</v>
      </c>
      <c r="F324" s="254" t="s">
        <v>386</v>
      </c>
      <c r="G324" s="254"/>
      <c r="H324" s="254" t="s">
        <v>387</v>
      </c>
      <c r="I324" s="254" t="s">
        <v>388</v>
      </c>
      <c r="J324" s="254" t="s">
        <v>389</v>
      </c>
      <c r="K324" s="255" t="s">
        <v>390</v>
      </c>
      <c r="L324" s="256" t="s">
        <v>11</v>
      </c>
      <c r="R324" s="234"/>
    </row>
    <row r="325" spans="4:18" ht="12" hidden="1" thickBot="1">
      <c r="D325" s="84"/>
      <c r="E325" s="84"/>
      <c r="F325" s="257"/>
      <c r="G325" s="257"/>
      <c r="H325" s="258"/>
      <c r="I325" s="258"/>
      <c r="J325" s="258"/>
      <c r="K325" s="259"/>
      <c r="R325" s="234"/>
    </row>
    <row r="326" spans="4:18" ht="12.75" hidden="1" thickBot="1">
      <c r="D326" s="252">
        <v>1</v>
      </c>
      <c r="E326" s="260" t="s">
        <v>392</v>
      </c>
      <c r="F326" s="261">
        <v>171</v>
      </c>
      <c r="G326" s="261"/>
      <c r="H326" s="232">
        <f aca="true" t="shared" si="22" ref="H326:H335">$H$336*F326/$F$336</f>
        <v>1639.89</v>
      </c>
      <c r="I326" s="232">
        <f aca="true" t="shared" si="23" ref="I326:I335">$I$336*F326/$F$336</f>
        <v>1704.6648</v>
      </c>
      <c r="J326" s="232">
        <f aca="true" t="shared" si="24" ref="J326:J335">$J$336*F326/$F$336</f>
        <v>1749.9969</v>
      </c>
      <c r="K326" s="262">
        <v>47.19</v>
      </c>
      <c r="L326" s="263">
        <v>176.09949446616451</v>
      </c>
      <c r="R326" s="234"/>
    </row>
    <row r="327" spans="4:18" ht="12.75" hidden="1" thickBot="1">
      <c r="D327" s="252">
        <v>2</v>
      </c>
      <c r="E327" s="260" t="s">
        <v>393</v>
      </c>
      <c r="F327" s="261">
        <v>147</v>
      </c>
      <c r="G327" s="261"/>
      <c r="H327" s="232">
        <f t="shared" si="22"/>
        <v>1409.73</v>
      </c>
      <c r="I327" s="232">
        <f t="shared" si="23"/>
        <v>1465.4135999999999</v>
      </c>
      <c r="J327" s="232">
        <f t="shared" si="24"/>
        <v>1504.3833</v>
      </c>
      <c r="K327" s="262">
        <v>38.27</v>
      </c>
      <c r="L327" s="263">
        <v>144.01662544479836</v>
      </c>
      <c r="R327" s="234"/>
    </row>
    <row r="328" spans="4:18" ht="12.75" hidden="1" thickBot="1">
      <c r="D328" s="252">
        <v>3</v>
      </c>
      <c r="E328" s="260" t="s">
        <v>394</v>
      </c>
      <c r="F328" s="261">
        <v>141</v>
      </c>
      <c r="G328" s="261"/>
      <c r="H328" s="232">
        <f t="shared" si="22"/>
        <v>1352.19</v>
      </c>
      <c r="I328" s="232">
        <f t="shared" si="23"/>
        <v>1405.6008</v>
      </c>
      <c r="J328" s="232">
        <f t="shared" si="24"/>
        <v>1442.9798999999998</v>
      </c>
      <c r="K328" s="262">
        <v>35.95</v>
      </c>
      <c r="L328" s="263">
        <v>40.07501389269055</v>
      </c>
      <c r="R328" s="234"/>
    </row>
    <row r="329" spans="4:18" ht="12.75" hidden="1" thickBot="1">
      <c r="D329" s="252">
        <v>4</v>
      </c>
      <c r="E329" s="260" t="s">
        <v>396</v>
      </c>
      <c r="F329" s="261">
        <v>138</v>
      </c>
      <c r="G329" s="261"/>
      <c r="H329" s="232">
        <f t="shared" si="22"/>
        <v>1323.42</v>
      </c>
      <c r="I329" s="232">
        <f t="shared" si="23"/>
        <v>1375.6944</v>
      </c>
      <c r="J329" s="232">
        <f t="shared" si="24"/>
        <v>1412.2782</v>
      </c>
      <c r="K329" s="262">
        <v>33.62</v>
      </c>
      <c r="L329" s="264">
        <v>68.84</v>
      </c>
      <c r="R329" s="234"/>
    </row>
    <row r="330" spans="4:18" ht="12.75" hidden="1" thickBot="1">
      <c r="D330" s="252">
        <v>5</v>
      </c>
      <c r="E330" s="260" t="s">
        <v>397</v>
      </c>
      <c r="F330" s="261">
        <v>132</v>
      </c>
      <c r="G330" s="261"/>
      <c r="H330" s="232">
        <f t="shared" si="22"/>
        <v>1265.88</v>
      </c>
      <c r="I330" s="232">
        <f t="shared" si="23"/>
        <v>1315.8816</v>
      </c>
      <c r="J330" s="232">
        <f t="shared" si="24"/>
        <v>1350.8748</v>
      </c>
      <c r="K330" s="262">
        <v>31.77</v>
      </c>
      <c r="L330" s="265">
        <v>-17.21582689914112</v>
      </c>
      <c r="M330" s="165" t="s">
        <v>12</v>
      </c>
      <c r="R330" s="234"/>
    </row>
    <row r="331" spans="4:18" ht="12.75" hidden="1" thickBot="1">
      <c r="D331" s="252">
        <v>6</v>
      </c>
      <c r="E331" s="260" t="s">
        <v>398</v>
      </c>
      <c r="F331" s="261">
        <v>127</v>
      </c>
      <c r="G331" s="261"/>
      <c r="H331" s="232">
        <f t="shared" si="22"/>
        <v>1217.93</v>
      </c>
      <c r="I331" s="232">
        <f t="shared" si="23"/>
        <v>1266.0375999999999</v>
      </c>
      <c r="J331" s="232">
        <f t="shared" si="24"/>
        <v>1299.7053</v>
      </c>
      <c r="K331" s="262">
        <v>29.91</v>
      </c>
      <c r="L331" s="263">
        <v>83.63898492978751</v>
      </c>
      <c r="P331" s="234"/>
      <c r="R331" s="234"/>
    </row>
    <row r="332" spans="4:18" ht="12.75" hidden="1" thickBot="1">
      <c r="D332" s="252">
        <v>7</v>
      </c>
      <c r="E332" s="260" t="s">
        <v>399</v>
      </c>
      <c r="F332" s="261">
        <v>125</v>
      </c>
      <c r="G332" s="261"/>
      <c r="H332" s="232">
        <f t="shared" si="22"/>
        <v>1198.75</v>
      </c>
      <c r="I332" s="232">
        <f t="shared" si="23"/>
        <v>1246.1</v>
      </c>
      <c r="J332" s="232">
        <f t="shared" si="24"/>
        <v>1279.2375</v>
      </c>
      <c r="K332" s="262">
        <v>28.42</v>
      </c>
      <c r="L332" s="264">
        <v>49.91417310085876</v>
      </c>
      <c r="O332" s="234"/>
      <c r="P332" s="234"/>
      <c r="R332" s="234"/>
    </row>
    <row r="333" spans="4:18" ht="12" hidden="1">
      <c r="D333" s="252">
        <v>8</v>
      </c>
      <c r="E333" s="260" t="s">
        <v>400</v>
      </c>
      <c r="F333" s="261">
        <v>119</v>
      </c>
      <c r="G333" s="261"/>
      <c r="H333" s="232">
        <f t="shared" si="22"/>
        <v>1141.21</v>
      </c>
      <c r="I333" s="232">
        <f t="shared" si="23"/>
        <v>1186.2872</v>
      </c>
      <c r="J333" s="232">
        <f t="shared" si="24"/>
        <v>1217.8341</v>
      </c>
      <c r="K333" s="262">
        <v>25.64</v>
      </c>
      <c r="L333" s="266">
        <v>6.462575854606939</v>
      </c>
      <c r="M333" s="165" t="s">
        <v>13</v>
      </c>
      <c r="O333" s="234"/>
      <c r="P333" s="234"/>
      <c r="R333" s="234"/>
    </row>
    <row r="334" spans="4:18" ht="12.75" hidden="1" thickBot="1">
      <c r="D334" s="252">
        <v>9</v>
      </c>
      <c r="E334" s="260" t="s">
        <v>401</v>
      </c>
      <c r="F334" s="261">
        <v>117</v>
      </c>
      <c r="G334" s="261"/>
      <c r="H334" s="232">
        <f t="shared" si="22"/>
        <v>1122.03</v>
      </c>
      <c r="I334" s="232">
        <f t="shared" si="23"/>
        <v>1166.3496</v>
      </c>
      <c r="J334" s="232">
        <f t="shared" si="24"/>
        <v>1197.3663000000001</v>
      </c>
      <c r="K334" s="262">
        <v>24.34</v>
      </c>
      <c r="L334" s="264">
        <v>25.642575854607003</v>
      </c>
      <c r="O334" s="234"/>
      <c r="P334" s="234"/>
      <c r="R334" s="234"/>
    </row>
    <row r="335" spans="4:18" ht="12.75" hidden="1" thickBot="1">
      <c r="D335" s="252">
        <v>10</v>
      </c>
      <c r="E335" s="260" t="s">
        <v>402</v>
      </c>
      <c r="F335" s="261">
        <v>111</v>
      </c>
      <c r="G335" s="261"/>
      <c r="H335" s="232">
        <f t="shared" si="22"/>
        <v>1064.49</v>
      </c>
      <c r="I335" s="232">
        <f t="shared" si="23"/>
        <v>1106.5367999999999</v>
      </c>
      <c r="J335" s="232">
        <f t="shared" si="24"/>
        <v>1135.9629</v>
      </c>
      <c r="K335" s="262">
        <v>22.66</v>
      </c>
      <c r="L335" s="266">
        <v>-83.9036259664199</v>
      </c>
      <c r="M335" s="165" t="s">
        <v>14</v>
      </c>
      <c r="O335" s="234"/>
      <c r="P335" s="234"/>
      <c r="R335" s="234"/>
    </row>
    <row r="336" spans="4:18" ht="12.75" hidden="1" thickBot="1">
      <c r="D336" s="252">
        <v>11</v>
      </c>
      <c r="E336" s="260" t="s">
        <v>403</v>
      </c>
      <c r="F336" s="261">
        <v>100</v>
      </c>
      <c r="G336" s="261"/>
      <c r="H336" s="232">
        <v>959</v>
      </c>
      <c r="I336" s="232">
        <v>996.88</v>
      </c>
      <c r="J336" s="232">
        <v>1023.39</v>
      </c>
      <c r="K336" s="262">
        <v>18.58</v>
      </c>
      <c r="L336" s="263">
        <v>21.586374033580114</v>
      </c>
      <c r="O336" s="234"/>
      <c r="P336" s="234"/>
      <c r="R336" s="234"/>
    </row>
    <row r="337" spans="9:18" ht="11.25" hidden="1">
      <c r="I337" s="258"/>
      <c r="O337" s="234"/>
      <c r="P337" s="234"/>
      <c r="R337" s="234"/>
    </row>
    <row r="338" spans="8:18" ht="12" hidden="1" thickBot="1">
      <c r="H338" s="258"/>
      <c r="I338" s="258"/>
      <c r="O338" s="234"/>
      <c r="P338" s="234"/>
      <c r="R338" s="234"/>
    </row>
    <row r="339" spans="6:18" ht="384.75" hidden="1" thickBot="1">
      <c r="F339" s="267" t="s">
        <v>18</v>
      </c>
      <c r="G339" s="267" t="s">
        <v>19</v>
      </c>
      <c r="H339" s="267" t="s">
        <v>11</v>
      </c>
      <c r="I339" s="267" t="s">
        <v>20</v>
      </c>
      <c r="J339" s="267" t="s">
        <v>15</v>
      </c>
      <c r="K339" s="256" t="s">
        <v>16</v>
      </c>
      <c r="L339" s="256" t="s">
        <v>17</v>
      </c>
      <c r="M339" s="256" t="s">
        <v>21</v>
      </c>
      <c r="O339" s="234"/>
      <c r="P339" s="234"/>
      <c r="R339" s="234"/>
    </row>
    <row r="340" spans="6:18" ht="12.75" hidden="1" thickBot="1">
      <c r="F340" s="268"/>
      <c r="G340" s="268"/>
      <c r="H340" s="268"/>
      <c r="I340" s="268"/>
      <c r="J340" s="269"/>
      <c r="K340" s="251"/>
      <c r="L340" s="251"/>
      <c r="M340" s="251"/>
      <c r="O340" s="234"/>
      <c r="P340" s="234"/>
      <c r="R340" s="234"/>
    </row>
    <row r="341" spans="4:18" ht="12.75" hidden="1" thickBot="1">
      <c r="D341" s="270">
        <v>100</v>
      </c>
      <c r="E341" s="271" t="s">
        <v>403</v>
      </c>
      <c r="F341" s="272">
        <v>980.5863740335801</v>
      </c>
      <c r="G341" s="273">
        <v>959</v>
      </c>
      <c r="H341" s="274">
        <v>21.586374033580114</v>
      </c>
      <c r="I341" s="275">
        <v>37.878787878787875</v>
      </c>
      <c r="J341" s="275">
        <v>996.8787878787879</v>
      </c>
      <c r="K341" s="276">
        <v>26.515151515151516</v>
      </c>
      <c r="L341" s="276">
        <v>1023.3939393939394</v>
      </c>
      <c r="M341" s="276">
        <v>18.58</v>
      </c>
      <c r="O341" s="234"/>
      <c r="P341" s="234"/>
      <c r="R341" s="234"/>
    </row>
    <row r="342" spans="4:18" ht="12" hidden="1">
      <c r="D342" s="270">
        <v>111</v>
      </c>
      <c r="E342" s="271" t="s">
        <v>402</v>
      </c>
      <c r="F342" s="277">
        <v>980.5863740335801</v>
      </c>
      <c r="G342" s="278">
        <v>1064.49</v>
      </c>
      <c r="H342" s="278">
        <v>-83.9036259664199</v>
      </c>
      <c r="I342" s="279">
        <v>42.04545454545455</v>
      </c>
      <c r="J342" s="279">
        <v>1106.5354545454545</v>
      </c>
      <c r="K342" s="280">
        <v>29.431818181818183</v>
      </c>
      <c r="L342" s="280">
        <v>1135.9672727272728</v>
      </c>
      <c r="M342" s="280">
        <v>22.66</v>
      </c>
      <c r="O342" s="234"/>
      <c r="P342" s="234"/>
      <c r="R342" s="234"/>
    </row>
    <row r="343" spans="4:18" ht="12" hidden="1">
      <c r="D343" s="271">
        <v>111</v>
      </c>
      <c r="E343" s="271" t="s">
        <v>402</v>
      </c>
      <c r="F343" s="281">
        <v>1085.9415156202388</v>
      </c>
      <c r="G343" s="282">
        <v>1064.49</v>
      </c>
      <c r="H343" s="282">
        <v>21.45151562023875</v>
      </c>
      <c r="I343" s="283">
        <v>42.04545454545455</v>
      </c>
      <c r="J343" s="283">
        <v>1106.5354545454545</v>
      </c>
      <c r="K343" s="284">
        <v>29.431818181818183</v>
      </c>
      <c r="L343" s="284">
        <v>1135.9672727272728</v>
      </c>
      <c r="M343" s="284">
        <v>22.66</v>
      </c>
      <c r="O343" s="234"/>
      <c r="P343" s="234"/>
      <c r="R343" s="234"/>
    </row>
    <row r="344" spans="4:18" ht="12.75" hidden="1" thickBot="1">
      <c r="D344" s="270">
        <v>117</v>
      </c>
      <c r="E344" s="271" t="s">
        <v>401</v>
      </c>
      <c r="F344" s="285">
        <v>1147.672575854607</v>
      </c>
      <c r="G344" s="286">
        <v>1122.03</v>
      </c>
      <c r="H344" s="286">
        <v>25.642575854607003</v>
      </c>
      <c r="I344" s="287">
        <v>44.31818181818182</v>
      </c>
      <c r="J344" s="287">
        <v>1166.3481818181817</v>
      </c>
      <c r="K344" s="288">
        <v>31.022727272727273</v>
      </c>
      <c r="L344" s="288">
        <v>1197.370909090909</v>
      </c>
      <c r="M344" s="288">
        <v>24.34</v>
      </c>
      <c r="O344" s="234"/>
      <c r="P344" s="234"/>
      <c r="R344" s="234"/>
    </row>
    <row r="345" spans="4:18" ht="12" hidden="1">
      <c r="D345" s="270">
        <v>119</v>
      </c>
      <c r="E345" s="271" t="s">
        <v>400</v>
      </c>
      <c r="F345" s="277">
        <v>1147.672575854607</v>
      </c>
      <c r="G345" s="289">
        <v>1141.21</v>
      </c>
      <c r="H345" s="278">
        <v>6.462575854606939</v>
      </c>
      <c r="I345" s="279">
        <v>45.07575757575758</v>
      </c>
      <c r="J345" s="279">
        <v>1186.2857575757575</v>
      </c>
      <c r="K345" s="280">
        <v>31.553030303030305</v>
      </c>
      <c r="L345" s="280">
        <v>1217.8387878787878</v>
      </c>
      <c r="M345" s="280">
        <v>25.64</v>
      </c>
      <c r="O345" s="234"/>
      <c r="P345" s="234"/>
      <c r="R345" s="234"/>
    </row>
    <row r="346" spans="4:18" ht="12" hidden="1">
      <c r="D346" s="271">
        <v>119</v>
      </c>
      <c r="E346" s="271" t="s">
        <v>400</v>
      </c>
      <c r="F346" s="281">
        <v>1181.5877839609145</v>
      </c>
      <c r="G346" s="290">
        <v>1141.21</v>
      </c>
      <c r="H346" s="282">
        <v>40.377783960914485</v>
      </c>
      <c r="I346" s="283">
        <v>45.07575757575758</v>
      </c>
      <c r="J346" s="283">
        <v>1186.2857575757575</v>
      </c>
      <c r="K346" s="284">
        <v>31.553030303030305</v>
      </c>
      <c r="L346" s="284">
        <v>1217.8387878787878</v>
      </c>
      <c r="M346" s="284">
        <v>25.64</v>
      </c>
      <c r="O346" s="234"/>
      <c r="P346" s="234"/>
      <c r="R346" s="234"/>
    </row>
    <row r="347" spans="4:18" ht="12.75" hidden="1" thickBot="1">
      <c r="D347" s="270">
        <v>125</v>
      </c>
      <c r="E347" s="271" t="s">
        <v>399</v>
      </c>
      <c r="F347" s="285">
        <v>1248.6641731008588</v>
      </c>
      <c r="G347" s="291">
        <v>1198.75</v>
      </c>
      <c r="H347" s="286">
        <v>49.91417310085876</v>
      </c>
      <c r="I347" s="287">
        <v>47.34848484848485</v>
      </c>
      <c r="J347" s="287">
        <v>1246.0984848484848</v>
      </c>
      <c r="K347" s="288">
        <v>33.14393939393939</v>
      </c>
      <c r="L347" s="288">
        <v>1279.2424242424242</v>
      </c>
      <c r="M347" s="288">
        <v>28.42</v>
      </c>
      <c r="O347" s="234"/>
      <c r="P347" s="234"/>
      <c r="R347" s="234"/>
    </row>
    <row r="348" spans="4:18" ht="12.75" hidden="1" thickBot="1">
      <c r="D348" s="270">
        <v>127</v>
      </c>
      <c r="E348" s="271" t="s">
        <v>398</v>
      </c>
      <c r="F348" s="272">
        <v>1301.5689849297876</v>
      </c>
      <c r="G348" s="273">
        <v>1217.93</v>
      </c>
      <c r="H348" s="274">
        <v>83.63898492978751</v>
      </c>
      <c r="I348" s="275">
        <v>48.10606060606061</v>
      </c>
      <c r="J348" s="275">
        <v>1266.0360606060606</v>
      </c>
      <c r="K348" s="276">
        <v>33.67424242424242</v>
      </c>
      <c r="L348" s="276">
        <v>1299.710303030303</v>
      </c>
      <c r="M348" s="276">
        <v>29.91</v>
      </c>
      <c r="O348" s="234"/>
      <c r="P348" s="234"/>
      <c r="R348" s="234"/>
    </row>
    <row r="349" spans="4:18" ht="12" hidden="1">
      <c r="D349" s="270">
        <v>132</v>
      </c>
      <c r="E349" s="271" t="s">
        <v>397</v>
      </c>
      <c r="F349" s="277">
        <v>1248.6641731008588</v>
      </c>
      <c r="G349" s="289">
        <v>1265.88</v>
      </c>
      <c r="H349" s="278">
        <v>-17.21582689914112</v>
      </c>
      <c r="I349" s="279">
        <v>50</v>
      </c>
      <c r="J349" s="279">
        <v>1315.88</v>
      </c>
      <c r="K349" s="280">
        <v>35</v>
      </c>
      <c r="L349" s="280">
        <v>1350.88</v>
      </c>
      <c r="M349" s="280">
        <v>31.77</v>
      </c>
      <c r="P349" s="234"/>
      <c r="R349" s="234"/>
    </row>
    <row r="350" spans="4:18" ht="12" hidden="1">
      <c r="D350" s="271">
        <v>132</v>
      </c>
      <c r="E350" s="271" t="s">
        <v>397</v>
      </c>
      <c r="F350" s="281">
        <v>1301.5689849297876</v>
      </c>
      <c r="G350" s="290">
        <v>1265.88</v>
      </c>
      <c r="H350" s="282">
        <v>35.68898492978769</v>
      </c>
      <c r="I350" s="283">
        <v>50</v>
      </c>
      <c r="J350" s="283">
        <v>1315.88</v>
      </c>
      <c r="K350" s="284">
        <v>35</v>
      </c>
      <c r="L350" s="284">
        <v>1350.88</v>
      </c>
      <c r="M350" s="284">
        <v>31.77</v>
      </c>
      <c r="P350" s="234"/>
      <c r="R350" s="234"/>
    </row>
    <row r="351" spans="4:18" ht="12.75" hidden="1" thickBot="1">
      <c r="D351" s="270">
        <v>138</v>
      </c>
      <c r="E351" s="271" t="s">
        <v>396</v>
      </c>
      <c r="F351" s="285">
        <v>1392.2650138926906</v>
      </c>
      <c r="G351" s="291">
        <v>1323.42</v>
      </c>
      <c r="H351" s="286">
        <v>68.85</v>
      </c>
      <c r="I351" s="287">
        <v>52.27272727272727</v>
      </c>
      <c r="J351" s="287">
        <v>1375.6927272727273</v>
      </c>
      <c r="K351" s="288">
        <v>36.59090909090909</v>
      </c>
      <c r="L351" s="288">
        <v>1412.2836363636363</v>
      </c>
      <c r="M351" s="288">
        <v>33.62</v>
      </c>
      <c r="P351" s="234"/>
      <c r="R351" s="234"/>
    </row>
    <row r="352" spans="4:18" ht="12.75" hidden="1" thickBot="1">
      <c r="D352" s="270">
        <v>141</v>
      </c>
      <c r="E352" s="271" t="s">
        <v>394</v>
      </c>
      <c r="F352" s="272">
        <v>1392.2650138926906</v>
      </c>
      <c r="G352" s="273">
        <v>1352.19</v>
      </c>
      <c r="H352" s="274">
        <v>40.07501389269055</v>
      </c>
      <c r="I352" s="275">
        <v>53.40909090909091</v>
      </c>
      <c r="J352" s="275">
        <v>1405.599090909091</v>
      </c>
      <c r="K352" s="292">
        <v>37.38636363636363</v>
      </c>
      <c r="L352" s="292">
        <v>1442.9854545454548</v>
      </c>
      <c r="M352" s="292">
        <v>35.95</v>
      </c>
      <c r="P352" s="234"/>
      <c r="R352" s="234"/>
    </row>
    <row r="353" spans="4:18" ht="12.75" hidden="1" thickBot="1">
      <c r="D353" s="270">
        <v>147</v>
      </c>
      <c r="E353" s="271" t="s">
        <v>393</v>
      </c>
      <c r="F353" s="272">
        <v>1553.7466254447984</v>
      </c>
      <c r="G353" s="273">
        <v>1409.73</v>
      </c>
      <c r="H353" s="274">
        <v>144.01662544479836</v>
      </c>
      <c r="I353" s="275">
        <v>55.68181818181818</v>
      </c>
      <c r="J353" s="275">
        <v>1465.4118181818183</v>
      </c>
      <c r="K353" s="293">
        <v>38.97727272727273</v>
      </c>
      <c r="L353" s="293">
        <v>1504.389090909091</v>
      </c>
      <c r="M353" s="293">
        <v>38.27</v>
      </c>
      <c r="P353" s="234"/>
      <c r="R353" s="234"/>
    </row>
    <row r="354" spans="4:18" ht="12.75" hidden="1" thickBot="1">
      <c r="D354" s="270">
        <v>171</v>
      </c>
      <c r="E354" s="271" t="s">
        <v>392</v>
      </c>
      <c r="F354" s="272">
        <v>1815.9894944661644</v>
      </c>
      <c r="G354" s="273">
        <v>1639.89</v>
      </c>
      <c r="H354" s="274">
        <v>176.09949446616451</v>
      </c>
      <c r="I354" s="275">
        <v>64.77272727272727</v>
      </c>
      <c r="J354" s="275">
        <v>1704.6627272727271</v>
      </c>
      <c r="K354" s="276">
        <v>45.34090909090909</v>
      </c>
      <c r="L354" s="276">
        <v>1750.0036363636361</v>
      </c>
      <c r="M354" s="276">
        <v>47.19</v>
      </c>
      <c r="P354" s="234"/>
      <c r="R354" s="234"/>
    </row>
    <row r="355" spans="8:16" ht="11.25" hidden="1">
      <c r="H355" s="258"/>
      <c r="I355" s="258"/>
      <c r="P355" s="234"/>
    </row>
    <row r="356" spans="8:16" ht="11.25" hidden="1">
      <c r="H356" s="258"/>
      <c r="I356" s="258"/>
      <c r="P356" s="234"/>
    </row>
    <row r="357" spans="8:16" ht="11.25" hidden="1">
      <c r="H357" s="258"/>
      <c r="I357" s="258"/>
      <c r="P357" s="234"/>
    </row>
    <row r="358" spans="6:16" ht="11.25" hidden="1">
      <c r="F358" s="235"/>
      <c r="G358" s="232"/>
      <c r="H358" s="258"/>
      <c r="I358" s="258"/>
      <c r="P358" s="234"/>
    </row>
    <row r="359" spans="6:16" ht="11.25" hidden="1">
      <c r="F359" s="235"/>
      <c r="G359" s="232"/>
      <c r="H359" s="258"/>
      <c r="I359" s="258"/>
      <c r="P359" s="234"/>
    </row>
    <row r="360" spans="6:16" ht="11.25" hidden="1">
      <c r="F360" s="235"/>
      <c r="G360" s="232"/>
      <c r="H360" s="258"/>
      <c r="I360" s="258"/>
      <c r="P360" s="234"/>
    </row>
    <row r="361" spans="6:9" ht="11.25" hidden="1">
      <c r="F361" s="235"/>
      <c r="G361" s="232"/>
      <c r="H361" s="258"/>
      <c r="I361" s="258"/>
    </row>
    <row r="362" spans="6:9" ht="11.25" hidden="1">
      <c r="F362" s="235"/>
      <c r="G362" s="232"/>
      <c r="H362" s="258"/>
      <c r="I362" s="258"/>
    </row>
    <row r="363" spans="6:9" ht="11.25" hidden="1">
      <c r="F363" s="235"/>
      <c r="G363" s="232"/>
      <c r="H363" s="258"/>
      <c r="I363" s="258"/>
    </row>
    <row r="364" spans="6:9" ht="11.25" hidden="1">
      <c r="F364" s="235"/>
      <c r="G364" s="232"/>
      <c r="H364" s="258"/>
      <c r="I364" s="258"/>
    </row>
    <row r="365" spans="6:9" ht="11.25" hidden="1">
      <c r="F365" s="294" t="s">
        <v>22</v>
      </c>
      <c r="H365" s="258"/>
      <c r="I365" s="258"/>
    </row>
    <row r="366" spans="6:9" ht="11.25" hidden="1">
      <c r="F366" s="235">
        <v>824.13</v>
      </c>
      <c r="G366" s="294" t="s">
        <v>23</v>
      </c>
      <c r="I366" s="258"/>
    </row>
    <row r="367" spans="6:7" ht="11.25" hidden="1">
      <c r="F367" s="235">
        <v>620.69</v>
      </c>
      <c r="G367" s="294" t="s">
        <v>24</v>
      </c>
    </row>
    <row r="368" spans="6:7" ht="11.25" hidden="1">
      <c r="F368" s="235"/>
      <c r="G368" s="294" t="s">
        <v>25</v>
      </c>
    </row>
    <row r="369" spans="6:7" ht="11.25" hidden="1">
      <c r="F369" s="235"/>
      <c r="G369" s="232"/>
    </row>
    <row r="370" spans="5:6" ht="11.25" hidden="1">
      <c r="E370" s="148" t="s">
        <v>26</v>
      </c>
      <c r="F370" s="235">
        <f>F366-F367</f>
        <v>203.43999999999994</v>
      </c>
    </row>
    <row r="371" ht="11.25" hidden="1">
      <c r="F371" s="235"/>
    </row>
    <row r="372" ht="11.25" hidden="1">
      <c r="F372" s="235"/>
    </row>
    <row r="373" ht="12" hidden="1" thickBot="1">
      <c r="F373" s="235"/>
    </row>
    <row r="374" spans="6:12" ht="12.75" hidden="1">
      <c r="F374" s="295" t="s">
        <v>111</v>
      </c>
      <c r="G374" s="296"/>
      <c r="H374" s="297"/>
      <c r="I374" s="298"/>
      <c r="J374" s="299"/>
      <c r="K374" s="300"/>
      <c r="L374" s="73"/>
    </row>
    <row r="375" spans="6:12" ht="13.5" hidden="1" thickBot="1">
      <c r="F375" s="301" t="s">
        <v>112</v>
      </c>
      <c r="G375" s="302" t="s">
        <v>113</v>
      </c>
      <c r="H375" s="303" t="s">
        <v>114</v>
      </c>
      <c r="I375" s="298"/>
      <c r="J375" s="299"/>
      <c r="K375" s="298"/>
      <c r="L375" s="73"/>
    </row>
    <row r="376" spans="6:12" ht="230.25" hidden="1" thickBot="1">
      <c r="F376" s="304"/>
      <c r="G376" s="305" t="s">
        <v>339</v>
      </c>
      <c r="H376" s="306" t="s">
        <v>340</v>
      </c>
      <c r="I376" s="307" t="s">
        <v>336</v>
      </c>
      <c r="J376" s="308" t="s">
        <v>337</v>
      </c>
      <c r="K376" s="309" t="s">
        <v>338</v>
      </c>
      <c r="L376" s="309" t="s">
        <v>341</v>
      </c>
    </row>
    <row r="377" spans="6:12" ht="13.5" hidden="1" thickBot="1">
      <c r="F377" s="304"/>
      <c r="G377" s="310"/>
      <c r="H377" s="311"/>
      <c r="I377" s="73"/>
      <c r="J377" s="73"/>
      <c r="K377" s="73"/>
      <c r="L377" s="73"/>
    </row>
    <row r="378" spans="6:12" ht="13.5" hidden="1" thickBot="1">
      <c r="F378" s="312">
        <v>20</v>
      </c>
      <c r="G378" s="313">
        <v>35</v>
      </c>
      <c r="H378" s="311"/>
      <c r="I378" s="314">
        <v>20</v>
      </c>
      <c r="J378" s="315">
        <f aca="true" t="shared" si="25" ref="J378:J395">(I378+3)*2%</f>
        <v>0.46</v>
      </c>
      <c r="K378" s="316">
        <v>0</v>
      </c>
      <c r="L378" s="317">
        <f>$I$41*K378</f>
        <v>0</v>
      </c>
    </row>
    <row r="379" spans="6:12" ht="13.5" hidden="1" thickBot="1">
      <c r="F379" s="312">
        <v>21</v>
      </c>
      <c r="G379" s="313">
        <v>32</v>
      </c>
      <c r="H379" s="311"/>
      <c r="I379" s="318">
        <v>21</v>
      </c>
      <c r="J379" s="319">
        <f t="shared" si="25"/>
        <v>0.48</v>
      </c>
      <c r="K379" s="320">
        <v>1</v>
      </c>
      <c r="L379" s="321">
        <v>0.00167</v>
      </c>
    </row>
    <row r="380" spans="6:12" ht="13.5" hidden="1" thickBot="1">
      <c r="F380" s="312">
        <v>22</v>
      </c>
      <c r="G380" s="313">
        <v>29</v>
      </c>
      <c r="H380" s="311"/>
      <c r="I380" s="318">
        <v>22</v>
      </c>
      <c r="J380" s="319">
        <f t="shared" si="25"/>
        <v>0.5</v>
      </c>
      <c r="K380" s="320">
        <v>2</v>
      </c>
      <c r="L380" s="321">
        <f aca="true" t="shared" si="26" ref="L380:L389">$L$379*K380</f>
        <v>0.00334</v>
      </c>
    </row>
    <row r="381" spans="6:12" ht="13.5" hidden="1" thickBot="1">
      <c r="F381" s="312">
        <v>23</v>
      </c>
      <c r="G381" s="313">
        <v>26</v>
      </c>
      <c r="H381" s="311"/>
      <c r="I381" s="318">
        <v>23</v>
      </c>
      <c r="J381" s="319">
        <f t="shared" si="25"/>
        <v>0.52</v>
      </c>
      <c r="K381" s="320">
        <v>3</v>
      </c>
      <c r="L381" s="321">
        <f t="shared" si="26"/>
        <v>0.0050100000000000006</v>
      </c>
    </row>
    <row r="382" spans="6:12" ht="13.5" hidden="1" thickBot="1">
      <c r="F382" s="312">
        <v>24</v>
      </c>
      <c r="G382" s="313">
        <v>23</v>
      </c>
      <c r="H382" s="311"/>
      <c r="I382" s="318">
        <v>24</v>
      </c>
      <c r="J382" s="319">
        <f t="shared" si="25"/>
        <v>0.54</v>
      </c>
      <c r="K382" s="320">
        <v>4</v>
      </c>
      <c r="L382" s="321">
        <f t="shared" si="26"/>
        <v>0.00668</v>
      </c>
    </row>
    <row r="383" spans="6:12" ht="13.5" hidden="1" thickBot="1">
      <c r="F383" s="312">
        <v>25</v>
      </c>
      <c r="G383" s="313">
        <v>20</v>
      </c>
      <c r="H383" s="311"/>
      <c r="I383" s="318">
        <v>25</v>
      </c>
      <c r="J383" s="319">
        <f t="shared" si="25"/>
        <v>0.56</v>
      </c>
      <c r="K383" s="320">
        <v>5</v>
      </c>
      <c r="L383" s="321">
        <f t="shared" si="26"/>
        <v>0.00835</v>
      </c>
    </row>
    <row r="384" spans="6:12" ht="13.5" hidden="1" thickBot="1">
      <c r="F384" s="312">
        <v>26</v>
      </c>
      <c r="G384" s="313">
        <v>17</v>
      </c>
      <c r="H384" s="311"/>
      <c r="I384" s="318">
        <v>26</v>
      </c>
      <c r="J384" s="319">
        <f t="shared" si="25"/>
        <v>0.58</v>
      </c>
      <c r="K384" s="320">
        <v>6</v>
      </c>
      <c r="L384" s="321">
        <f t="shared" si="26"/>
        <v>0.010020000000000001</v>
      </c>
    </row>
    <row r="385" spans="6:12" ht="13.5" hidden="1" thickBot="1">
      <c r="F385" s="312">
        <v>27</v>
      </c>
      <c r="G385" s="313">
        <v>15</v>
      </c>
      <c r="H385" s="311"/>
      <c r="I385" s="318">
        <v>27</v>
      </c>
      <c r="J385" s="319">
        <f t="shared" si="25"/>
        <v>0.6</v>
      </c>
      <c r="K385" s="320">
        <v>7</v>
      </c>
      <c r="L385" s="321">
        <f t="shared" si="26"/>
        <v>0.01169</v>
      </c>
    </row>
    <row r="386" spans="6:12" ht="13.5" hidden="1" thickBot="1">
      <c r="F386" s="312">
        <v>28</v>
      </c>
      <c r="G386" s="313">
        <v>13</v>
      </c>
      <c r="H386" s="311"/>
      <c r="I386" s="318">
        <v>28</v>
      </c>
      <c r="J386" s="319">
        <f t="shared" si="25"/>
        <v>0.62</v>
      </c>
      <c r="K386" s="320">
        <v>8</v>
      </c>
      <c r="L386" s="321">
        <f t="shared" si="26"/>
        <v>0.01336</v>
      </c>
    </row>
    <row r="387" spans="6:12" ht="13.5" hidden="1" thickBot="1">
      <c r="F387" s="312">
        <v>29</v>
      </c>
      <c r="G387" s="313">
        <v>11</v>
      </c>
      <c r="H387" s="311"/>
      <c r="I387" s="318">
        <v>29</v>
      </c>
      <c r="J387" s="319">
        <f t="shared" si="25"/>
        <v>0.64</v>
      </c>
      <c r="K387" s="320">
        <v>9</v>
      </c>
      <c r="L387" s="321">
        <f t="shared" si="26"/>
        <v>0.01503</v>
      </c>
    </row>
    <row r="388" spans="6:12" ht="13.5" hidden="1" thickBot="1">
      <c r="F388" s="312">
        <v>30</v>
      </c>
      <c r="G388" s="313">
        <v>9</v>
      </c>
      <c r="H388" s="322">
        <v>13</v>
      </c>
      <c r="I388" s="318">
        <v>30</v>
      </c>
      <c r="J388" s="319">
        <f t="shared" si="25"/>
        <v>0.66</v>
      </c>
      <c r="K388" s="320">
        <v>10</v>
      </c>
      <c r="L388" s="321">
        <f t="shared" si="26"/>
        <v>0.0167</v>
      </c>
    </row>
    <row r="389" spans="6:12" ht="13.5" hidden="1" thickBot="1">
      <c r="F389" s="312">
        <v>31</v>
      </c>
      <c r="G389" s="313">
        <v>7</v>
      </c>
      <c r="H389" s="322">
        <v>11</v>
      </c>
      <c r="I389" s="318">
        <v>31</v>
      </c>
      <c r="J389" s="319">
        <f t="shared" si="25"/>
        <v>0.68</v>
      </c>
      <c r="K389" s="320">
        <v>11</v>
      </c>
      <c r="L389" s="321">
        <f t="shared" si="26"/>
        <v>0.01837</v>
      </c>
    </row>
    <row r="390" spans="6:12" ht="13.5" hidden="1" thickBot="1">
      <c r="F390" s="312">
        <v>32</v>
      </c>
      <c r="G390" s="313">
        <v>5</v>
      </c>
      <c r="H390" s="322">
        <v>9</v>
      </c>
      <c r="I390" s="318">
        <v>32</v>
      </c>
      <c r="J390" s="319">
        <f t="shared" si="25"/>
        <v>0.7000000000000001</v>
      </c>
      <c r="K390" s="323">
        <v>12</v>
      </c>
      <c r="L390" s="324">
        <v>0.02</v>
      </c>
    </row>
    <row r="391" spans="6:12" ht="12.75" hidden="1">
      <c r="F391" s="312">
        <v>33</v>
      </c>
      <c r="G391" s="313">
        <v>3</v>
      </c>
      <c r="H391" s="322">
        <v>7</v>
      </c>
      <c r="I391" s="318">
        <v>33</v>
      </c>
      <c r="J391" s="319">
        <f t="shared" si="25"/>
        <v>0.72</v>
      </c>
      <c r="K391" s="73"/>
      <c r="L391" s="73"/>
    </row>
    <row r="392" spans="6:12" ht="12.75" hidden="1">
      <c r="F392" s="312">
        <v>34</v>
      </c>
      <c r="G392" s="313">
        <v>1</v>
      </c>
      <c r="H392" s="322">
        <v>5</v>
      </c>
      <c r="I392" s="318">
        <v>34</v>
      </c>
      <c r="J392" s="319">
        <f t="shared" si="25"/>
        <v>0.74</v>
      </c>
      <c r="K392" s="73"/>
      <c r="L392" s="73"/>
    </row>
    <row r="393" spans="6:12" ht="12.75" hidden="1">
      <c r="F393" s="312">
        <v>35</v>
      </c>
      <c r="G393" s="313">
        <v>0</v>
      </c>
      <c r="H393" s="322">
        <v>3</v>
      </c>
      <c r="I393" s="318">
        <v>35</v>
      </c>
      <c r="J393" s="319">
        <f t="shared" si="25"/>
        <v>0.76</v>
      </c>
      <c r="K393" s="73"/>
      <c r="L393" s="73"/>
    </row>
    <row r="394" spans="6:12" ht="12.75" hidden="1">
      <c r="F394" s="312">
        <v>36</v>
      </c>
      <c r="G394" s="313">
        <v>0</v>
      </c>
      <c r="H394" s="322">
        <v>1</v>
      </c>
      <c r="I394" s="318">
        <v>36</v>
      </c>
      <c r="J394" s="319">
        <f t="shared" si="25"/>
        <v>0.78</v>
      </c>
      <c r="K394" s="73"/>
      <c r="L394" s="73"/>
    </row>
    <row r="395" spans="6:12" ht="13.5" hidden="1" thickBot="1">
      <c r="F395" s="325">
        <v>37</v>
      </c>
      <c r="G395" s="326">
        <v>0</v>
      </c>
      <c r="H395" s="327">
        <v>0</v>
      </c>
      <c r="I395" s="328">
        <v>37</v>
      </c>
      <c r="J395" s="329">
        <f t="shared" si="25"/>
        <v>0.8</v>
      </c>
      <c r="K395" s="73"/>
      <c r="L395" s="73"/>
    </row>
    <row r="396" spans="3:9" ht="12.75" hidden="1">
      <c r="C396" s="73"/>
      <c r="D396" s="330"/>
      <c r="E396" s="73"/>
      <c r="F396" s="73"/>
      <c r="G396" s="73"/>
      <c r="H396" s="73"/>
      <c r="I396" s="73"/>
    </row>
  </sheetData>
  <sheetProtection password="8E6D" sheet="1" objects="1" scenarios="1"/>
  <autoFilter ref="B33:J267"/>
  <printOptions horizontalCentered="1"/>
  <pageMargins left="0.2" right="0.1968503937007874" top="0.5905511811023623" bottom="0.5905511811023623" header="0.31496062992125984" footer="0.31496062992125984"/>
  <pageSetup fitToHeight="0" fitToWidth="0" horizontalDpi="360" verticalDpi="360" orientation="portrait" paperSize="9" scale="67" r:id="rId1"/>
  <headerFooter alignWithMargins="0">
    <oddHeader>&amp;R&amp;8&amp;UAllegato  A  all'art. 30 (Elementi distinti della retribuzione)  dell'accordo del 16.4.2003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2"/>
  <dimension ref="A1:Z289"/>
  <sheetViews>
    <sheetView zoomScale="75" zoomScaleNormal="75" workbookViewId="0" topLeftCell="IV65536">
      <selection activeCell="A1" sqref="A1:IV16384"/>
    </sheetView>
  </sheetViews>
  <sheetFormatPr defaultColWidth="9.140625" defaultRowHeight="12.75" zeroHeight="1"/>
  <cols>
    <col min="1" max="1" width="27.7109375" style="338" hidden="1" customWidth="1"/>
    <col min="2" max="2" width="12.7109375" style="338" hidden="1" customWidth="1"/>
    <col min="3" max="3" width="11.8515625" style="338" hidden="1" customWidth="1"/>
    <col min="4" max="4" width="19.57421875" style="338" hidden="1" customWidth="1"/>
    <col min="5" max="5" width="10.421875" style="338" hidden="1" customWidth="1"/>
    <col min="6" max="6" width="19.8515625" style="338" hidden="1" customWidth="1"/>
    <col min="7" max="7" width="12.00390625" style="338" hidden="1" customWidth="1"/>
    <col min="8" max="8" width="6.28125" style="338" hidden="1" customWidth="1"/>
    <col min="9" max="9" width="19.8515625" style="338" hidden="1" customWidth="1"/>
    <col min="10" max="10" width="11.00390625" style="338" hidden="1" customWidth="1"/>
    <col min="11" max="16384" width="0.2890625" style="338" hidden="1" customWidth="1"/>
  </cols>
  <sheetData>
    <row r="1" spans="1:16" ht="15.75" hidden="1">
      <c r="A1" s="335" t="s">
        <v>368</v>
      </c>
      <c r="B1" s="336"/>
      <c r="C1" s="336"/>
      <c r="D1" s="337">
        <v>2006</v>
      </c>
      <c r="E1" s="337">
        <v>2007</v>
      </c>
      <c r="F1" s="337">
        <v>2008</v>
      </c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ht="12.75" hidden="1">
      <c r="A2" s="339" t="s">
        <v>369</v>
      </c>
      <c r="B2" s="340">
        <f>E2</f>
        <v>40082</v>
      </c>
      <c r="C2" s="341">
        <v>0.0919</v>
      </c>
      <c r="D2" s="340">
        <v>39297</v>
      </c>
      <c r="E2" s="349">
        <f>ROUNDDOWN(D2+D2*D4,0)</f>
        <v>40082</v>
      </c>
      <c r="F2" s="342">
        <f>E2+E2*E4</f>
        <v>40082</v>
      </c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ht="12.75" hidden="1">
      <c r="A3" s="339" t="s">
        <v>370</v>
      </c>
      <c r="B3" s="340">
        <f>B2</f>
        <v>40082</v>
      </c>
      <c r="C3" s="341">
        <v>0.1019</v>
      </c>
      <c r="D3" s="336" t="s">
        <v>30</v>
      </c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</row>
    <row r="4" spans="1:16" ht="12.75" hidden="1">
      <c r="A4" s="336"/>
      <c r="B4" s="336"/>
      <c r="C4" s="336"/>
      <c r="D4" s="343">
        <v>0.02</v>
      </c>
      <c r="E4" s="343">
        <v>0</v>
      </c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</row>
    <row r="5" spans="1:12" ht="12.75" hidden="1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</row>
    <row r="6" spans="1:12" s="345" customFormat="1" ht="12.75" hidden="1">
      <c r="A6" s="414" t="s">
        <v>371</v>
      </c>
      <c r="B6" s="414"/>
      <c r="C6" s="358"/>
      <c r="D6" s="359"/>
      <c r="E6" s="344"/>
      <c r="F6" s="344"/>
      <c r="G6" s="344"/>
      <c r="H6" s="344"/>
      <c r="I6" s="344"/>
      <c r="J6" s="344"/>
      <c r="K6" s="344"/>
      <c r="L6" s="344"/>
    </row>
    <row r="7" spans="1:12" s="345" customFormat="1" ht="12.75" hidden="1">
      <c r="A7" s="357" t="s">
        <v>372</v>
      </c>
      <c r="B7" s="357" t="s">
        <v>118</v>
      </c>
      <c r="C7" s="357" t="s">
        <v>373</v>
      </c>
      <c r="D7" s="357" t="s">
        <v>536</v>
      </c>
      <c r="E7" s="344"/>
      <c r="F7" s="344"/>
      <c r="G7" s="344"/>
      <c r="H7" s="344"/>
      <c r="I7" s="344"/>
      <c r="J7" s="344"/>
      <c r="K7" s="344"/>
      <c r="L7" s="344"/>
    </row>
    <row r="8" spans="1:12" s="345" customFormat="1" ht="12.75" hidden="1">
      <c r="A8" s="360">
        <v>0</v>
      </c>
      <c r="B8" s="361">
        <f>C36</f>
        <v>1250</v>
      </c>
      <c r="C8" s="362">
        <v>23</v>
      </c>
      <c r="D8" s="361">
        <v>0</v>
      </c>
      <c r="G8" s="344"/>
      <c r="H8" s="344"/>
      <c r="I8" s="344"/>
      <c r="J8" s="344"/>
      <c r="K8" s="344"/>
      <c r="L8" s="344"/>
    </row>
    <row r="9" spans="1:12" s="345" customFormat="1" ht="12.75" hidden="1">
      <c r="A9" s="360">
        <f>B8+0.01</f>
        <v>1250.01</v>
      </c>
      <c r="B9" s="361">
        <f>C37</f>
        <v>2416.6666666666665</v>
      </c>
      <c r="C9" s="362">
        <v>29</v>
      </c>
      <c r="D9" s="361">
        <f>E37</f>
        <v>75</v>
      </c>
      <c r="H9" s="344"/>
      <c r="I9" s="344"/>
      <c r="J9" s="344"/>
      <c r="K9" s="344"/>
      <c r="L9" s="344"/>
    </row>
    <row r="10" spans="1:12" s="345" customFormat="1" ht="12.75" hidden="1">
      <c r="A10" s="360">
        <f>B9+0.01</f>
        <v>2416.6766666666667</v>
      </c>
      <c r="B10" s="361">
        <f>C38</f>
        <v>2716.6666666666665</v>
      </c>
      <c r="C10" s="362">
        <v>31</v>
      </c>
      <c r="D10" s="361">
        <f>E38</f>
        <v>123.33333333333337</v>
      </c>
      <c r="G10" s="344"/>
      <c r="H10" s="344"/>
      <c r="I10" s="344" t="s">
        <v>528</v>
      </c>
      <c r="J10" s="344"/>
      <c r="K10" s="344"/>
      <c r="L10" s="344"/>
    </row>
    <row r="11" spans="1:12" s="345" customFormat="1" ht="12.75" hidden="1">
      <c r="A11" s="360">
        <f>B10+0.01</f>
        <v>2716.6766666666667</v>
      </c>
      <c r="B11" s="361">
        <f>C39</f>
        <v>5833.333333333333</v>
      </c>
      <c r="C11" s="362">
        <v>39</v>
      </c>
      <c r="D11" s="361">
        <f>E39</f>
        <v>340.6666666666667</v>
      </c>
      <c r="F11" s="345" t="s">
        <v>49</v>
      </c>
      <c r="G11" s="347">
        <f>DATI!C33</f>
        <v>3039.989494466164</v>
      </c>
      <c r="I11" s="345" t="s">
        <v>49</v>
      </c>
      <c r="J11" s="347">
        <f>DATI!D33</f>
        <v>3039.99</v>
      </c>
      <c r="K11" s="344"/>
      <c r="L11" s="344"/>
    </row>
    <row r="12" spans="1:12" s="345" customFormat="1" ht="12.75" hidden="1">
      <c r="A12" s="360">
        <f>B11+0.01</f>
        <v>5833.343333333333</v>
      </c>
      <c r="B12" s="361">
        <v>100000</v>
      </c>
      <c r="C12" s="362">
        <v>45</v>
      </c>
      <c r="D12" s="361">
        <f>E40</f>
        <v>690.6666666666666</v>
      </c>
      <c r="E12" s="344"/>
      <c r="F12" s="344" t="s">
        <v>50</v>
      </c>
      <c r="G12" s="347">
        <f>IF(ISERROR(IF(G11*12&lt;='Ritenute Fiscali'!$B$2,G11*'Ritenute Fiscali'!$C$2,(G11*'Ritenute Fiscali'!$C$2)+(G11*12-'Ritenute Fiscali'!$B$2)*1%)),"",IF(G11*12&lt;='Ritenute Fiscali'!$B$2,G11*'Ritenute Fiscali'!$C$2,(G11*'Ritenute Fiscali'!$C$2)+(G11*12-'Ritenute Fiscali'!$B$2)*1%))</f>
        <v>279.37503454144047</v>
      </c>
      <c r="H12" s="344"/>
      <c r="I12" s="344" t="s">
        <v>50</v>
      </c>
      <c r="J12" s="347">
        <f>IF(ISERROR(IF(J11*12&lt;='Ritenute Fiscali'!$B$2,J11*'Ritenute Fiscali'!$C$2,(J11*'Ritenute Fiscali'!$C$2)+(J11*12-'Ritenute Fiscali'!$B$2)*1%)),"",IF(J11*12&lt;='Ritenute Fiscali'!$B$2,J11*'Ritenute Fiscali'!$C$2,(J11*'Ritenute Fiscali'!$C$2)+(J11*12-'Ritenute Fiscali'!$B$2)*1%))</f>
        <v>279.37508099999997</v>
      </c>
      <c r="K12" s="344"/>
      <c r="L12" s="344"/>
    </row>
    <row r="13" spans="1:12" s="345" customFormat="1" ht="12.75" hidden="1">
      <c r="A13" s="359"/>
      <c r="B13" s="359"/>
      <c r="C13" s="359"/>
      <c r="D13" s="358"/>
      <c r="F13" s="344" t="s">
        <v>51</v>
      </c>
      <c r="G13" s="347">
        <f>G11-G12</f>
        <v>2760.6144599247236</v>
      </c>
      <c r="H13" s="336"/>
      <c r="I13" s="344" t="s">
        <v>51</v>
      </c>
      <c r="J13" s="347">
        <f>J11-J12</f>
        <v>2760.6149189999996</v>
      </c>
      <c r="K13" s="336"/>
      <c r="L13" s="336"/>
    </row>
    <row r="14" spans="1:12" ht="12.75" hidden="1">
      <c r="A14" s="359"/>
      <c r="B14" s="359"/>
      <c r="C14" s="359"/>
      <c r="D14" s="359"/>
      <c r="E14" s="336"/>
      <c r="F14" s="336" t="s">
        <v>52</v>
      </c>
      <c r="G14" s="347">
        <f>G13-G13*LOOKUP(G13,$A$8:$C$11)/100+LOOKUP(G13,$A$8:$D$11)</f>
        <v>2024.641487220748</v>
      </c>
      <c r="H14" s="336"/>
      <c r="I14" s="336" t="s">
        <v>52</v>
      </c>
      <c r="J14" s="347">
        <f>J13-J13*LOOKUP(J13,$A$8:$C$11)/100+LOOKUP(J13,$A$8:$D$11)</f>
        <v>2024.6417672566665</v>
      </c>
      <c r="K14" s="336"/>
      <c r="L14" s="336"/>
    </row>
    <row r="15" spans="1:12" ht="15.75" hidden="1">
      <c r="A15" s="363" t="s">
        <v>537</v>
      </c>
      <c r="B15" s="359"/>
      <c r="C15" s="359"/>
      <c r="D15" s="359"/>
      <c r="E15" s="336"/>
      <c r="F15" s="336" t="s">
        <v>53</v>
      </c>
      <c r="G15" s="347">
        <f>G13-G14</f>
        <v>735.9729727039755</v>
      </c>
      <c r="H15" s="336"/>
      <c r="I15" s="336" t="s">
        <v>53</v>
      </c>
      <c r="J15" s="347">
        <f>J13-J14</f>
        <v>735.9731517433331</v>
      </c>
      <c r="K15" s="336"/>
      <c r="L15" s="336"/>
    </row>
    <row r="16" spans="1:12" ht="12.75" hidden="1">
      <c r="A16" s="364" t="s">
        <v>538</v>
      </c>
      <c r="B16" s="365"/>
      <c r="C16" s="359"/>
      <c r="D16" s="366"/>
      <c r="E16" s="336"/>
      <c r="F16" s="336"/>
      <c r="G16" s="336"/>
      <c r="H16" s="336"/>
      <c r="I16" s="336"/>
      <c r="J16" s="336"/>
      <c r="K16" s="336"/>
      <c r="L16" s="336"/>
    </row>
    <row r="17" spans="1:12" ht="12.75" hidden="1">
      <c r="A17" s="367"/>
      <c r="B17" s="368"/>
      <c r="C17" s="369"/>
      <c r="D17" s="368"/>
      <c r="E17" s="336"/>
      <c r="F17" s="336"/>
      <c r="G17" s="336"/>
      <c r="H17" s="336"/>
      <c r="I17" s="336"/>
      <c r="J17" s="336"/>
      <c r="K17" s="336"/>
      <c r="L17" s="336"/>
    </row>
    <row r="18" spans="1:12" ht="12.75" hidden="1">
      <c r="A18" s="367"/>
      <c r="B18" s="368"/>
      <c r="C18" s="365"/>
      <c r="D18" s="365"/>
      <c r="E18" s="411" t="s">
        <v>540</v>
      </c>
      <c r="F18" s="336"/>
      <c r="G18" s="336"/>
      <c r="H18" s="336"/>
      <c r="I18" s="336"/>
      <c r="J18" s="336"/>
      <c r="K18" s="336"/>
      <c r="L18" s="336"/>
    </row>
    <row r="19" spans="1:12" ht="12.75" hidden="1">
      <c r="A19" s="413" t="s">
        <v>365</v>
      </c>
      <c r="B19" s="413"/>
      <c r="C19" s="413"/>
      <c r="D19" s="353">
        <v>15000</v>
      </c>
      <c r="E19" s="354">
        <v>0.23</v>
      </c>
      <c r="F19" s="346"/>
      <c r="G19" s="346"/>
      <c r="H19" s="346"/>
      <c r="I19" s="344"/>
      <c r="J19" s="344"/>
      <c r="K19" s="344"/>
      <c r="L19" s="344"/>
    </row>
    <row r="20" spans="1:12" ht="12.75" hidden="1">
      <c r="A20" s="412" t="s">
        <v>534</v>
      </c>
      <c r="B20" s="413"/>
      <c r="C20" s="413"/>
      <c r="D20" s="353">
        <v>29000</v>
      </c>
      <c r="E20" s="354">
        <v>0.29</v>
      </c>
      <c r="F20" s="344"/>
      <c r="G20" s="344"/>
      <c r="H20" s="344"/>
      <c r="I20" s="344"/>
      <c r="J20" s="344"/>
      <c r="K20" s="344"/>
      <c r="L20" s="344"/>
    </row>
    <row r="21" spans="1:12" ht="12.75" hidden="1">
      <c r="A21" s="412" t="s">
        <v>535</v>
      </c>
      <c r="B21" s="413"/>
      <c r="C21" s="413"/>
      <c r="D21" s="353">
        <v>32600</v>
      </c>
      <c r="E21" s="354">
        <v>0.31</v>
      </c>
      <c r="F21" s="344"/>
      <c r="G21" s="344"/>
      <c r="H21" s="344"/>
      <c r="I21" s="340"/>
      <c r="J21" s="340"/>
      <c r="K21" s="340"/>
      <c r="L21" s="340"/>
    </row>
    <row r="22" spans="1:12" ht="12.75" hidden="1">
      <c r="A22" s="412" t="s">
        <v>539</v>
      </c>
      <c r="B22" s="413"/>
      <c r="C22" s="413"/>
      <c r="D22" s="353">
        <v>70000</v>
      </c>
      <c r="E22" s="354">
        <v>0.39</v>
      </c>
      <c r="F22" s="344"/>
      <c r="G22" s="344"/>
      <c r="H22" s="344"/>
      <c r="I22" s="340"/>
      <c r="J22" s="340"/>
      <c r="K22" s="340"/>
      <c r="L22" s="340"/>
    </row>
    <row r="23" spans="1:12" ht="12.75" hidden="1">
      <c r="A23" s="413" t="s">
        <v>366</v>
      </c>
      <c r="B23" s="413"/>
      <c r="C23" s="367"/>
      <c r="D23" s="353">
        <v>70000</v>
      </c>
      <c r="E23" s="354">
        <v>0.45</v>
      </c>
      <c r="F23" s="344"/>
      <c r="G23" s="344"/>
      <c r="H23" s="344"/>
      <c r="I23" s="340"/>
      <c r="J23" s="340"/>
      <c r="K23" s="340"/>
      <c r="L23" s="340"/>
    </row>
    <row r="24" spans="1:12" ht="12.75" hidden="1">
      <c r="A24" s="369"/>
      <c r="B24" s="369"/>
      <c r="C24" s="369"/>
      <c r="D24" s="368"/>
      <c r="E24" s="344"/>
      <c r="F24" s="344"/>
      <c r="G24" s="344"/>
      <c r="H24" s="344"/>
      <c r="I24" s="340"/>
      <c r="J24" s="340"/>
      <c r="K24" s="340"/>
      <c r="L24" s="340"/>
    </row>
    <row r="25" spans="1:12" ht="12.75" hidden="1">
      <c r="A25" s="359"/>
      <c r="B25" s="359"/>
      <c r="C25" s="359"/>
      <c r="D25" s="359"/>
      <c r="E25" s="344"/>
      <c r="F25" s="336"/>
      <c r="G25" s="336"/>
      <c r="H25" s="336"/>
      <c r="I25" s="340"/>
      <c r="J25" s="340"/>
      <c r="K25" s="340"/>
      <c r="L25" s="340"/>
    </row>
    <row r="26" spans="1:12" ht="12.75" hidden="1">
      <c r="A26" s="359"/>
      <c r="B26" s="359"/>
      <c r="C26" s="359"/>
      <c r="D26" s="370"/>
      <c r="E26" s="336"/>
      <c r="F26" s="336"/>
      <c r="G26" s="336"/>
      <c r="H26" s="336"/>
      <c r="I26" s="336"/>
      <c r="J26" s="336"/>
      <c r="K26" s="340"/>
      <c r="L26" s="336"/>
    </row>
    <row r="27" spans="1:12" ht="12.75" hidden="1">
      <c r="A27" s="359"/>
      <c r="B27" s="359"/>
      <c r="C27" s="359"/>
      <c r="D27" s="359"/>
      <c r="E27" s="336"/>
      <c r="F27" s="336"/>
      <c r="G27" s="336"/>
      <c r="H27" s="336"/>
      <c r="I27" s="336"/>
      <c r="J27" s="336"/>
      <c r="K27" s="340"/>
      <c r="L27" s="336"/>
    </row>
    <row r="28" spans="1:12" ht="13.5" hidden="1" thickBot="1">
      <c r="A28" s="359"/>
      <c r="B28" s="359"/>
      <c r="C28" s="359"/>
      <c r="D28" s="359"/>
      <c r="E28" s="336"/>
      <c r="F28" s="336"/>
      <c r="G28" s="336"/>
      <c r="H28" s="336"/>
      <c r="I28" s="336"/>
      <c r="J28" s="336"/>
      <c r="K28" s="340"/>
      <c r="L28" s="336"/>
    </row>
    <row r="29" spans="1:11" ht="13.5" hidden="1" thickBot="1">
      <c r="A29" s="371" t="s">
        <v>317</v>
      </c>
      <c r="B29" s="372" t="s">
        <v>362</v>
      </c>
      <c r="C29" s="350">
        <f>D19</f>
        <v>15000</v>
      </c>
      <c r="D29" s="373" t="s">
        <v>363</v>
      </c>
      <c r="E29" s="355">
        <v>0</v>
      </c>
      <c r="F29" s="356">
        <f>J29*E19</f>
        <v>3450</v>
      </c>
      <c r="G29" s="388" t="s">
        <v>318</v>
      </c>
      <c r="H29" s="389">
        <f>E19</f>
        <v>0.23</v>
      </c>
      <c r="I29" s="390" t="s">
        <v>319</v>
      </c>
      <c r="J29" s="356">
        <f>C29</f>
        <v>15000</v>
      </c>
      <c r="K29" s="340"/>
    </row>
    <row r="30" spans="1:11" ht="13.5" hidden="1" thickBot="1">
      <c r="A30" s="374" t="s">
        <v>317</v>
      </c>
      <c r="B30" s="375" t="s">
        <v>362</v>
      </c>
      <c r="C30" s="351">
        <f>D20</f>
        <v>29000</v>
      </c>
      <c r="D30" s="376" t="s">
        <v>363</v>
      </c>
      <c r="E30" s="350">
        <f>J29*H30-F29</f>
        <v>900</v>
      </c>
      <c r="F30" s="356">
        <f>J30*E20</f>
        <v>4059.9999999999995</v>
      </c>
      <c r="G30" s="388" t="s">
        <v>318</v>
      </c>
      <c r="H30" s="391">
        <f>E20</f>
        <v>0.29</v>
      </c>
      <c r="I30" s="392" t="s">
        <v>319</v>
      </c>
      <c r="J30" s="356">
        <f>C30-C29</f>
        <v>14000</v>
      </c>
      <c r="K30" s="340"/>
    </row>
    <row r="31" spans="1:11" ht="13.5" hidden="1" thickBot="1">
      <c r="A31" s="374" t="s">
        <v>317</v>
      </c>
      <c r="B31" s="375" t="s">
        <v>362</v>
      </c>
      <c r="C31" s="351">
        <f>D21</f>
        <v>32600</v>
      </c>
      <c r="D31" s="376" t="s">
        <v>363</v>
      </c>
      <c r="E31" s="350">
        <f>(J29+J30)*H31-F29-F30</f>
        <v>1480.0000000000005</v>
      </c>
      <c r="F31" s="356">
        <f>J31*E21</f>
        <v>1116</v>
      </c>
      <c r="G31" s="388" t="s">
        <v>318</v>
      </c>
      <c r="H31" s="391">
        <f>E21</f>
        <v>0.31</v>
      </c>
      <c r="I31" s="392" t="s">
        <v>319</v>
      </c>
      <c r="J31" s="356">
        <f>C31-C30</f>
        <v>3600</v>
      </c>
      <c r="K31" s="340"/>
    </row>
    <row r="32" spans="1:11" ht="13.5" hidden="1" thickBot="1">
      <c r="A32" s="374" t="s">
        <v>317</v>
      </c>
      <c r="B32" s="375" t="s">
        <v>362</v>
      </c>
      <c r="C32" s="351">
        <f>D22</f>
        <v>70000</v>
      </c>
      <c r="D32" s="376" t="s">
        <v>363</v>
      </c>
      <c r="E32" s="350">
        <f>(J29+J30+J31)*H32-F29-F30-F31</f>
        <v>4088</v>
      </c>
      <c r="F32" s="356">
        <f>J32*E22</f>
        <v>14586</v>
      </c>
      <c r="G32" s="388" t="s">
        <v>318</v>
      </c>
      <c r="H32" s="391">
        <f>E22</f>
        <v>0.39</v>
      </c>
      <c r="I32" s="393" t="s">
        <v>319</v>
      </c>
      <c r="J32" s="356">
        <f>C32-C31</f>
        <v>37400</v>
      </c>
      <c r="K32" s="340"/>
    </row>
    <row r="33" spans="1:11" ht="13.5" hidden="1" thickBot="1">
      <c r="A33" s="377" t="s">
        <v>317</v>
      </c>
      <c r="B33" s="378" t="s">
        <v>364</v>
      </c>
      <c r="C33" s="352">
        <f>D23</f>
        <v>70000</v>
      </c>
      <c r="D33" s="379" t="s">
        <v>363</v>
      </c>
      <c r="E33" s="350">
        <f>(J29+J30+J31+J32)*H33-F29-F30-F31-F32</f>
        <v>8288</v>
      </c>
      <c r="F33" s="394"/>
      <c r="G33" s="395"/>
      <c r="H33" s="396">
        <f>E23</f>
        <v>0.45</v>
      </c>
      <c r="I33" s="397"/>
      <c r="J33" s="398"/>
      <c r="K33" s="340"/>
    </row>
    <row r="34" spans="1:11" ht="12.75" hidden="1">
      <c r="A34" s="359"/>
      <c r="B34" s="359"/>
      <c r="C34" s="359"/>
      <c r="D34" s="359"/>
      <c r="E34" s="359"/>
      <c r="F34" s="359"/>
      <c r="G34" s="399"/>
      <c r="H34" s="399"/>
      <c r="I34" s="359"/>
      <c r="J34" s="359"/>
      <c r="K34" s="340"/>
    </row>
    <row r="35" spans="1:11" ht="13.5" hidden="1" thickBot="1">
      <c r="A35" s="359"/>
      <c r="B35" s="359"/>
      <c r="C35" s="359"/>
      <c r="D35" s="359"/>
      <c r="E35" s="359"/>
      <c r="F35" s="359"/>
      <c r="G35" s="399"/>
      <c r="H35" s="399"/>
      <c r="I35" s="359"/>
      <c r="J35" s="359"/>
      <c r="K35" s="340"/>
    </row>
    <row r="36" spans="1:11" ht="13.5" hidden="1" thickBot="1">
      <c r="A36" s="380" t="s">
        <v>320</v>
      </c>
      <c r="B36" s="381" t="s">
        <v>362</v>
      </c>
      <c r="C36" s="356">
        <f>C29/12</f>
        <v>1250</v>
      </c>
      <c r="D36" s="381" t="s">
        <v>363</v>
      </c>
      <c r="E36" s="400">
        <v>0</v>
      </c>
      <c r="F36" s="350">
        <f>F29/12</f>
        <v>287.5</v>
      </c>
      <c r="G36" s="401" t="s">
        <v>318</v>
      </c>
      <c r="H36" s="402">
        <f>E19</f>
        <v>0.23</v>
      </c>
      <c r="I36" s="403" t="s">
        <v>319</v>
      </c>
      <c r="J36" s="350">
        <f>C36</f>
        <v>1250</v>
      </c>
      <c r="K36" s="340"/>
    </row>
    <row r="37" spans="1:11" ht="13.5" hidden="1" thickBot="1">
      <c r="A37" s="382" t="s">
        <v>320</v>
      </c>
      <c r="B37" s="383" t="s">
        <v>362</v>
      </c>
      <c r="C37" s="384">
        <f>C30/12</f>
        <v>2416.6666666666665</v>
      </c>
      <c r="D37" s="383" t="s">
        <v>363</v>
      </c>
      <c r="E37" s="384">
        <f>E30/12</f>
        <v>75</v>
      </c>
      <c r="F37" s="350">
        <f>F30/12</f>
        <v>338.3333333333333</v>
      </c>
      <c r="G37" s="401" t="s">
        <v>318</v>
      </c>
      <c r="H37" s="404">
        <f>E20</f>
        <v>0.29</v>
      </c>
      <c r="I37" s="405" t="s">
        <v>319</v>
      </c>
      <c r="J37" s="350">
        <f>C37-C36</f>
        <v>1166.6666666666665</v>
      </c>
      <c r="K37" s="340"/>
    </row>
    <row r="38" spans="1:11" ht="13.5" hidden="1" thickBot="1">
      <c r="A38" s="382" t="s">
        <v>320</v>
      </c>
      <c r="B38" s="383" t="s">
        <v>362</v>
      </c>
      <c r="C38" s="384">
        <f>C31/12</f>
        <v>2716.6666666666665</v>
      </c>
      <c r="D38" s="383" t="s">
        <v>363</v>
      </c>
      <c r="E38" s="384">
        <f>E31/12</f>
        <v>123.33333333333337</v>
      </c>
      <c r="F38" s="350">
        <f>F31/12</f>
        <v>93</v>
      </c>
      <c r="G38" s="401" t="s">
        <v>318</v>
      </c>
      <c r="H38" s="404">
        <f>E21</f>
        <v>0.31</v>
      </c>
      <c r="I38" s="405" t="s">
        <v>319</v>
      </c>
      <c r="J38" s="350">
        <f>C38-C37</f>
        <v>300</v>
      </c>
      <c r="K38" s="340"/>
    </row>
    <row r="39" spans="1:11" ht="13.5" hidden="1" thickBot="1">
      <c r="A39" s="382" t="s">
        <v>320</v>
      </c>
      <c r="B39" s="383" t="s">
        <v>362</v>
      </c>
      <c r="C39" s="384">
        <f>C32/12</f>
        <v>5833.333333333333</v>
      </c>
      <c r="D39" s="383" t="s">
        <v>363</v>
      </c>
      <c r="E39" s="384">
        <f>E32/12</f>
        <v>340.6666666666667</v>
      </c>
      <c r="F39" s="350">
        <f>F32/12</f>
        <v>1215.5</v>
      </c>
      <c r="G39" s="401" t="s">
        <v>318</v>
      </c>
      <c r="H39" s="404">
        <f>E22</f>
        <v>0.39</v>
      </c>
      <c r="I39" s="406" t="s">
        <v>319</v>
      </c>
      <c r="J39" s="350">
        <f>C39-C38</f>
        <v>3116.6666666666665</v>
      </c>
      <c r="K39" s="340"/>
    </row>
    <row r="40" spans="1:26" ht="13.5" hidden="1" thickBot="1">
      <c r="A40" s="385" t="s">
        <v>320</v>
      </c>
      <c r="B40" s="386" t="s">
        <v>364</v>
      </c>
      <c r="C40" s="387">
        <f>C33/12</f>
        <v>5833.333333333333</v>
      </c>
      <c r="D40" s="386" t="s">
        <v>363</v>
      </c>
      <c r="E40" s="384">
        <f>E33/12</f>
        <v>690.6666666666666</v>
      </c>
      <c r="F40" s="407"/>
      <c r="G40" s="408"/>
      <c r="H40" s="409">
        <f>E23</f>
        <v>0.45</v>
      </c>
      <c r="I40" s="410"/>
      <c r="J40" s="410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</row>
    <row r="41" spans="1:11" ht="12.75" hidden="1">
      <c r="A41" s="336"/>
      <c r="B41" s="336"/>
      <c r="C41" s="336"/>
      <c r="D41" s="336"/>
      <c r="E41" s="336"/>
      <c r="F41" s="336"/>
      <c r="G41" s="336"/>
      <c r="H41" s="336"/>
      <c r="I41" s="336"/>
      <c r="J41" s="336"/>
      <c r="K41" s="336"/>
    </row>
    <row r="42" spans="1:11" ht="12.75" hidden="1">
      <c r="A42" s="336"/>
      <c r="B42" s="336"/>
      <c r="C42" s="336"/>
      <c r="D42" s="336"/>
      <c r="E42" s="336"/>
      <c r="F42" s="336"/>
      <c r="G42" s="336"/>
      <c r="H42" s="336"/>
      <c r="I42" s="336"/>
      <c r="J42" s="336"/>
      <c r="K42" s="336"/>
    </row>
    <row r="43" spans="1:11" ht="12.75" hidden="1">
      <c r="A43" s="336"/>
      <c r="B43" s="336"/>
      <c r="C43" s="336"/>
      <c r="D43" s="336"/>
      <c r="E43" s="336"/>
      <c r="F43" s="336"/>
      <c r="G43" s="336"/>
      <c r="H43" s="336"/>
      <c r="I43" s="336"/>
      <c r="J43" s="336"/>
      <c r="K43" s="336"/>
    </row>
    <row r="44" spans="1:11" ht="12.75" hidden="1">
      <c r="A44" s="336"/>
      <c r="B44" s="336"/>
      <c r="C44" s="336"/>
      <c r="D44" s="336"/>
      <c r="E44" s="336"/>
      <c r="F44" s="336"/>
      <c r="G44" s="336"/>
      <c r="H44" s="336"/>
      <c r="I44" s="336"/>
      <c r="J44" s="336"/>
      <c r="K44" s="336"/>
    </row>
    <row r="45" spans="1:11" ht="12.75" hidden="1">
      <c r="A45" s="336"/>
      <c r="B45" s="336"/>
      <c r="C45" s="336"/>
      <c r="D45" s="336"/>
      <c r="E45" s="336"/>
      <c r="F45" s="336"/>
      <c r="G45" s="336"/>
      <c r="H45" s="336"/>
      <c r="I45" s="336"/>
      <c r="J45" s="336"/>
      <c r="K45" s="336"/>
    </row>
    <row r="46" spans="1:11" ht="12.75" hidden="1">
      <c r="A46" s="336"/>
      <c r="B46" s="336"/>
      <c r="C46" s="336"/>
      <c r="D46" s="336"/>
      <c r="E46" s="336"/>
      <c r="F46" s="336"/>
      <c r="G46" s="336"/>
      <c r="H46" s="336"/>
      <c r="I46" s="336"/>
      <c r="J46" s="336"/>
      <c r="K46" s="336"/>
    </row>
    <row r="47" spans="1:11" ht="12.75" hidden="1">
      <c r="A47" s="336"/>
      <c r="B47" s="336"/>
      <c r="C47" s="336"/>
      <c r="D47" s="336"/>
      <c r="E47" s="336"/>
      <c r="F47" s="336"/>
      <c r="G47" s="336"/>
      <c r="H47" s="336"/>
      <c r="I47" s="336"/>
      <c r="J47" s="336"/>
      <c r="K47" s="336"/>
    </row>
    <row r="48" spans="1:11" ht="12.75" hidden="1">
      <c r="A48" s="336"/>
      <c r="B48" s="336"/>
      <c r="C48" s="336"/>
      <c r="D48" s="336"/>
      <c r="E48" s="336"/>
      <c r="F48" s="336"/>
      <c r="G48" s="336"/>
      <c r="H48" s="336"/>
      <c r="I48" s="336"/>
      <c r="J48" s="336"/>
      <c r="K48" s="336"/>
    </row>
    <row r="49" spans="1:11" ht="12.75" hidden="1">
      <c r="A49" s="336"/>
      <c r="B49" s="336"/>
      <c r="C49" s="336"/>
      <c r="D49" s="336"/>
      <c r="E49" s="336"/>
      <c r="F49" s="336"/>
      <c r="G49" s="336"/>
      <c r="H49" s="336"/>
      <c r="I49" s="336"/>
      <c r="J49" s="336"/>
      <c r="K49" s="336"/>
    </row>
    <row r="50" spans="1:11" ht="12.75" hidden="1">
      <c r="A50" s="336"/>
      <c r="B50" s="336"/>
      <c r="C50" s="336"/>
      <c r="D50" s="336"/>
      <c r="E50" s="336"/>
      <c r="F50" s="336"/>
      <c r="G50" s="336"/>
      <c r="H50" s="336"/>
      <c r="I50" s="336"/>
      <c r="J50" s="336"/>
      <c r="K50" s="336"/>
    </row>
    <row r="51" spans="1:11" ht="12.75" hidden="1">
      <c r="A51" s="336"/>
      <c r="B51" s="336"/>
      <c r="C51" s="336"/>
      <c r="D51" s="336"/>
      <c r="E51" s="336"/>
      <c r="F51" s="336"/>
      <c r="G51" s="336"/>
      <c r="H51" s="336"/>
      <c r="I51" s="336"/>
      <c r="J51" s="336"/>
      <c r="K51" s="336"/>
    </row>
    <row r="52" spans="1:11" ht="12.75" hidden="1">
      <c r="A52" s="336"/>
      <c r="B52" s="336"/>
      <c r="C52" s="336"/>
      <c r="D52" s="336"/>
      <c r="E52" s="336"/>
      <c r="F52" s="336"/>
      <c r="G52" s="336"/>
      <c r="H52" s="336"/>
      <c r="I52" s="336"/>
      <c r="J52" s="336"/>
      <c r="K52" s="336"/>
    </row>
    <row r="53" spans="1:11" ht="12.75" hidden="1">
      <c r="A53" s="336"/>
      <c r="B53" s="336"/>
      <c r="C53" s="336"/>
      <c r="D53" s="336"/>
      <c r="E53" s="336"/>
      <c r="F53" s="336"/>
      <c r="G53" s="336"/>
      <c r="H53" s="336"/>
      <c r="I53" s="336"/>
      <c r="J53" s="336"/>
      <c r="K53" s="336"/>
    </row>
    <row r="54" spans="1:11" ht="12.75" hidden="1">
      <c r="A54" s="336"/>
      <c r="B54" s="336"/>
      <c r="C54" s="336"/>
      <c r="D54" s="336"/>
      <c r="E54" s="336"/>
      <c r="F54" s="336"/>
      <c r="G54" s="336"/>
      <c r="H54" s="336"/>
      <c r="I54" s="336"/>
      <c r="J54" s="336"/>
      <c r="K54" s="336"/>
    </row>
    <row r="55" spans="1:11" ht="12.75" hidden="1">
      <c r="A55" s="336"/>
      <c r="B55" s="336"/>
      <c r="C55" s="336"/>
      <c r="D55" s="336"/>
      <c r="E55" s="336"/>
      <c r="F55" s="336"/>
      <c r="G55" s="336"/>
      <c r="H55" s="336"/>
      <c r="I55" s="336"/>
      <c r="J55" s="336"/>
      <c r="K55" s="336"/>
    </row>
    <row r="56" spans="1:11" ht="12.75" hidden="1">
      <c r="A56" s="336"/>
      <c r="B56" s="336"/>
      <c r="C56" s="336"/>
      <c r="D56" s="336"/>
      <c r="E56" s="336"/>
      <c r="F56" s="336"/>
      <c r="G56" s="336"/>
      <c r="H56" s="336"/>
      <c r="I56" s="336"/>
      <c r="J56" s="336"/>
      <c r="K56" s="336"/>
    </row>
    <row r="57" spans="1:11" ht="12.75" hidden="1">
      <c r="A57" s="336"/>
      <c r="B57" s="336"/>
      <c r="C57" s="336"/>
      <c r="D57" s="336"/>
      <c r="E57" s="336"/>
      <c r="F57" s="336"/>
      <c r="G57" s="336"/>
      <c r="H57" s="336"/>
      <c r="I57" s="336"/>
      <c r="J57" s="336"/>
      <c r="K57" s="336"/>
    </row>
    <row r="58" spans="1:11" ht="12.75" hidden="1">
      <c r="A58" s="336"/>
      <c r="B58" s="336"/>
      <c r="C58" s="336"/>
      <c r="D58" s="336"/>
      <c r="E58" s="336"/>
      <c r="F58" s="336"/>
      <c r="G58" s="336"/>
      <c r="H58" s="336"/>
      <c r="I58" s="336"/>
      <c r="J58" s="336"/>
      <c r="K58" s="336"/>
    </row>
    <row r="59" spans="3:11" ht="12.75" hidden="1">
      <c r="C59" s="336"/>
      <c r="D59" s="336"/>
      <c r="E59" s="336"/>
      <c r="F59" s="336"/>
      <c r="G59" s="336"/>
      <c r="H59" s="336"/>
      <c r="I59" s="336"/>
      <c r="J59" s="336"/>
      <c r="K59" s="336"/>
    </row>
    <row r="60" spans="3:11" ht="12.75" hidden="1">
      <c r="C60" s="336"/>
      <c r="D60" s="336"/>
      <c r="E60" s="336"/>
      <c r="F60" s="336"/>
      <c r="G60" s="336"/>
      <c r="H60" s="336"/>
      <c r="I60" s="336"/>
      <c r="J60" s="336"/>
      <c r="K60" s="336"/>
    </row>
    <row r="61" spans="3:11" ht="12.75" hidden="1">
      <c r="C61" s="336"/>
      <c r="D61" s="336"/>
      <c r="E61" s="336"/>
      <c r="F61" s="336"/>
      <c r="G61" s="336"/>
      <c r="H61" s="336"/>
      <c r="I61" s="336"/>
      <c r="J61" s="336"/>
      <c r="K61" s="336"/>
    </row>
    <row r="62" ht="12.75" hidden="1">
      <c r="K62" s="340"/>
    </row>
    <row r="63" ht="12.75" hidden="1">
      <c r="K63" s="340"/>
    </row>
    <row r="64" ht="12.75" hidden="1">
      <c r="K64" s="340"/>
    </row>
    <row r="65" ht="12.75" hidden="1">
      <c r="K65" s="340"/>
    </row>
    <row r="66" ht="12.75" hidden="1">
      <c r="K66" s="340"/>
    </row>
    <row r="67" ht="12.75" hidden="1">
      <c r="K67" s="340"/>
    </row>
    <row r="68" ht="12.75" hidden="1">
      <c r="K68" s="340"/>
    </row>
    <row r="69" ht="12.75" hidden="1">
      <c r="K69" s="340"/>
    </row>
    <row r="70" ht="12.75" hidden="1">
      <c r="K70" s="340"/>
    </row>
    <row r="71" ht="12.75" hidden="1">
      <c r="K71" s="340"/>
    </row>
    <row r="72" ht="12.75" hidden="1">
      <c r="K72" s="340"/>
    </row>
    <row r="73" ht="12.75" hidden="1">
      <c r="K73" s="340"/>
    </row>
    <row r="74" ht="12.75" hidden="1">
      <c r="K74" s="340"/>
    </row>
    <row r="75" ht="12.75" hidden="1">
      <c r="K75" s="340"/>
    </row>
    <row r="76" ht="12.75" hidden="1">
      <c r="K76" s="340"/>
    </row>
    <row r="77" ht="12.75" hidden="1">
      <c r="K77" s="340"/>
    </row>
    <row r="78" ht="12.75" hidden="1">
      <c r="K78" s="340"/>
    </row>
    <row r="79" ht="12.75" hidden="1">
      <c r="K79" s="340"/>
    </row>
    <row r="80" ht="12.75" hidden="1">
      <c r="K80" s="340"/>
    </row>
    <row r="81" ht="12.75" hidden="1">
      <c r="K81" s="340"/>
    </row>
    <row r="82" ht="12.75" hidden="1">
      <c r="K82" s="340"/>
    </row>
    <row r="83" ht="12.75" hidden="1">
      <c r="K83" s="340"/>
    </row>
    <row r="84" ht="12.75" hidden="1">
      <c r="K84" s="340"/>
    </row>
    <row r="85" ht="12.75" hidden="1">
      <c r="K85" s="340"/>
    </row>
    <row r="86" ht="12.75" hidden="1">
      <c r="K86" s="340"/>
    </row>
    <row r="87" ht="12.75" hidden="1">
      <c r="K87" s="340"/>
    </row>
    <row r="88" ht="12.75" hidden="1">
      <c r="K88" s="340"/>
    </row>
    <row r="89" ht="12.75" hidden="1">
      <c r="K89" s="340"/>
    </row>
    <row r="90" ht="12.75" hidden="1">
      <c r="K90" s="340"/>
    </row>
    <row r="91" ht="12.75" hidden="1">
      <c r="K91" s="340"/>
    </row>
    <row r="92" ht="12.75" hidden="1">
      <c r="K92" s="340"/>
    </row>
    <row r="93" ht="12.75" hidden="1">
      <c r="K93" s="340"/>
    </row>
    <row r="94" ht="12.75" hidden="1">
      <c r="K94" s="340"/>
    </row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>
      <c r="E264" s="348"/>
    </row>
    <row r="265" spans="4:5" ht="12.75" hidden="1">
      <c r="D265" s="348"/>
      <c r="E265" s="348"/>
    </row>
    <row r="266" spans="4:8" ht="12.75" hidden="1">
      <c r="D266" s="348"/>
      <c r="E266" s="348"/>
      <c r="F266" s="348"/>
      <c r="G266" s="348"/>
      <c r="H266" s="348"/>
    </row>
    <row r="267" spans="4:8" ht="12.75" hidden="1">
      <c r="D267" s="348"/>
      <c r="E267" s="348"/>
      <c r="F267" s="348"/>
      <c r="G267" s="348"/>
      <c r="H267" s="348"/>
    </row>
    <row r="268" spans="4:8" ht="12.75" hidden="1">
      <c r="D268" s="348"/>
      <c r="E268" s="348"/>
      <c r="F268" s="348"/>
      <c r="G268" s="348"/>
      <c r="H268" s="348"/>
    </row>
    <row r="269" spans="4:8" ht="12.75" hidden="1">
      <c r="D269" s="348"/>
      <c r="E269" s="348"/>
      <c r="F269" s="348"/>
      <c r="G269" s="348"/>
      <c r="H269" s="348"/>
    </row>
    <row r="270" spans="4:8" ht="12.75" hidden="1">
      <c r="D270" s="348"/>
      <c r="E270" s="348"/>
      <c r="F270" s="348"/>
      <c r="G270" s="348"/>
      <c r="H270" s="348"/>
    </row>
    <row r="271" spans="4:8" ht="12.75" hidden="1">
      <c r="D271" s="348"/>
      <c r="E271" s="348"/>
      <c r="F271" s="348"/>
      <c r="G271" s="348"/>
      <c r="H271" s="348"/>
    </row>
    <row r="272" spans="4:8" ht="12.75" hidden="1">
      <c r="D272" s="348"/>
      <c r="E272" s="348"/>
      <c r="F272" s="348"/>
      <c r="G272" s="348"/>
      <c r="H272" s="348"/>
    </row>
    <row r="273" spans="4:8" ht="12.75" hidden="1">
      <c r="D273" s="348"/>
      <c r="E273" s="348"/>
      <c r="F273" s="348"/>
      <c r="G273" s="348"/>
      <c r="H273" s="348"/>
    </row>
    <row r="274" spans="4:8" ht="12.75" hidden="1">
      <c r="D274" s="348"/>
      <c r="E274" s="348"/>
      <c r="F274" s="348"/>
      <c r="G274" s="348"/>
      <c r="H274" s="348"/>
    </row>
    <row r="275" spans="4:8" ht="12.75" hidden="1">
      <c r="D275" s="348"/>
      <c r="E275" s="348"/>
      <c r="F275" s="348"/>
      <c r="G275" s="348"/>
      <c r="H275" s="348"/>
    </row>
    <row r="276" spans="4:8" ht="12.75" hidden="1">
      <c r="D276" s="348"/>
      <c r="E276" s="348"/>
      <c r="F276" s="348"/>
      <c r="G276" s="348"/>
      <c r="H276" s="348"/>
    </row>
    <row r="277" spans="4:8" ht="12.75" hidden="1">
      <c r="D277" s="348"/>
      <c r="E277" s="348"/>
      <c r="F277" s="348"/>
      <c r="G277" s="348"/>
      <c r="H277" s="348"/>
    </row>
    <row r="278" spans="4:8" ht="12.75" hidden="1">
      <c r="D278" s="348"/>
      <c r="E278" s="348"/>
      <c r="F278" s="348"/>
      <c r="G278" s="348"/>
      <c r="H278" s="348"/>
    </row>
    <row r="279" spans="4:8" ht="12.75" hidden="1">
      <c r="D279" s="348"/>
      <c r="E279" s="348"/>
      <c r="F279" s="348"/>
      <c r="G279" s="348"/>
      <c r="H279" s="348"/>
    </row>
    <row r="280" spans="4:8" ht="12.75" hidden="1">
      <c r="D280" s="348"/>
      <c r="E280" s="348"/>
      <c r="F280" s="348"/>
      <c r="G280" s="348"/>
      <c r="H280" s="348"/>
    </row>
    <row r="281" spans="4:8" ht="12.75" hidden="1">
      <c r="D281" s="348"/>
      <c r="E281" s="348"/>
      <c r="F281" s="348"/>
      <c r="G281" s="348"/>
      <c r="H281" s="348"/>
    </row>
    <row r="282" spans="4:8" ht="12.75" hidden="1">
      <c r="D282" s="348"/>
      <c r="E282" s="348"/>
      <c r="F282" s="348"/>
      <c r="G282" s="348"/>
      <c r="H282" s="348"/>
    </row>
    <row r="283" spans="4:8" ht="12.75" hidden="1">
      <c r="D283" s="348"/>
      <c r="E283" s="348"/>
      <c r="F283" s="348"/>
      <c r="G283" s="348"/>
      <c r="H283" s="348"/>
    </row>
    <row r="284" spans="4:8" ht="12.75" hidden="1">
      <c r="D284" s="348"/>
      <c r="E284" s="348"/>
      <c r="F284" s="348"/>
      <c r="G284" s="348"/>
      <c r="H284" s="348"/>
    </row>
    <row r="285" spans="4:8" ht="12.75" hidden="1">
      <c r="D285" s="348"/>
      <c r="E285" s="348"/>
      <c r="F285" s="348"/>
      <c r="G285" s="348"/>
      <c r="H285" s="348"/>
    </row>
    <row r="286" spans="4:8" ht="12.75" hidden="1">
      <c r="D286" s="348"/>
      <c r="E286" s="348"/>
      <c r="F286" s="348"/>
      <c r="G286" s="348"/>
      <c r="H286" s="348"/>
    </row>
    <row r="287" spans="4:8" ht="12.75" hidden="1">
      <c r="D287" s="348"/>
      <c r="E287" s="348"/>
      <c r="F287" s="348"/>
      <c r="G287" s="348"/>
      <c r="H287" s="348"/>
    </row>
    <row r="288" spans="4:8" ht="12.75" hidden="1">
      <c r="D288" s="348"/>
      <c r="F288" s="348"/>
      <c r="G288" s="348"/>
      <c r="H288" s="348"/>
    </row>
    <row r="289" spans="6:8" ht="12.75" hidden="1">
      <c r="F289" s="348"/>
      <c r="G289" s="348"/>
      <c r="H289" s="348"/>
    </row>
  </sheetData>
  <sheetProtection password="8E6D" sheet="1" objects="1" scenarios="1"/>
  <mergeCells count="6">
    <mergeCell ref="A22:C22"/>
    <mergeCell ref="A23:B23"/>
    <mergeCell ref="A6:B6"/>
    <mergeCell ref="A19:C19"/>
    <mergeCell ref="A20:C20"/>
    <mergeCell ref="A21:C21"/>
  </mergeCells>
  <printOptions gridLines="1"/>
  <pageMargins left="0.7874015748031497" right="0.3937007874015748" top="0.35" bottom="0.7874015748031497" header="0.03937007874015748" footer="0"/>
  <pageSetup horizontalDpi="360" verticalDpi="360" orientation="landscape" paperSize="9" r:id="rId2"/>
  <headerFooter alignWithMargins="0">
    <oddFooter>&amp;L&amp;"Arial,Corsivo"Roberto SPADINO&amp;CSegr.Comp.ORSA-FISAFS  BARI&amp;R&amp;"Arial,Grassetto"A.P.P. ANNO  2000&amp;"Arial,Normale"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"/>
  <dimension ref="A2:Q245"/>
  <sheetViews>
    <sheetView workbookViewId="0" topLeftCell="A25">
      <selection activeCell="C46" sqref="C46"/>
    </sheetView>
  </sheetViews>
  <sheetFormatPr defaultColWidth="9.140625" defaultRowHeight="12.75"/>
  <cols>
    <col min="1" max="1" width="12.00390625" style="2" customWidth="1"/>
    <col min="2" max="2" width="16.8515625" style="1" customWidth="1"/>
    <col min="3" max="3" width="32.7109375" style="1" customWidth="1"/>
    <col min="4" max="10" width="9.140625" style="1" customWidth="1"/>
    <col min="11" max="11" width="9.421875" style="1" customWidth="1"/>
    <col min="12" max="16384" width="9.140625" style="1" customWidth="1"/>
  </cols>
  <sheetData>
    <row r="1" ht="13.5" thickBot="1"/>
    <row r="2" spans="1:11" s="4" customFormat="1" ht="12.75" customHeight="1">
      <c r="A2" s="40" t="s">
        <v>59</v>
      </c>
      <c r="B2" s="41"/>
      <c r="C2" s="41"/>
      <c r="D2" s="41"/>
      <c r="E2" s="41"/>
      <c r="F2" s="41"/>
      <c r="G2" s="41"/>
      <c r="H2" s="41"/>
      <c r="I2" s="42"/>
      <c r="J2" s="47"/>
      <c r="K2" s="47"/>
    </row>
    <row r="3" spans="1:11" s="5" customFormat="1" ht="26.25" customHeight="1">
      <c r="A3" s="421" t="s">
        <v>60</v>
      </c>
      <c r="B3" s="422"/>
      <c r="C3" s="422"/>
      <c r="D3" s="422"/>
      <c r="E3" s="422"/>
      <c r="F3" s="422"/>
      <c r="G3" s="422"/>
      <c r="H3" s="422"/>
      <c r="I3" s="423"/>
      <c r="J3" s="426"/>
      <c r="K3" s="426"/>
    </row>
    <row r="4" spans="1:11" s="5" customFormat="1" ht="12.75" customHeight="1">
      <c r="A4" s="43" t="s">
        <v>61</v>
      </c>
      <c r="B4" s="44"/>
      <c r="C4" s="44"/>
      <c r="D4" s="44"/>
      <c r="E4" s="44"/>
      <c r="F4" s="44"/>
      <c r="G4" s="44"/>
      <c r="H4" s="44"/>
      <c r="I4" s="45"/>
      <c r="J4" s="44"/>
      <c r="K4" s="44"/>
    </row>
    <row r="5" spans="1:11" s="5" customFormat="1" ht="25.5" customHeight="1">
      <c r="A5" s="421" t="s">
        <v>62</v>
      </c>
      <c r="B5" s="422"/>
      <c r="C5" s="422"/>
      <c r="D5" s="422"/>
      <c r="E5" s="422"/>
      <c r="F5" s="422"/>
      <c r="G5" s="422"/>
      <c r="H5" s="422"/>
      <c r="I5" s="423"/>
      <c r="J5" s="44"/>
      <c r="K5" s="44"/>
    </row>
    <row r="6" spans="1:11" s="5" customFormat="1" ht="24.75" customHeight="1">
      <c r="A6" s="421" t="s">
        <v>63</v>
      </c>
      <c r="B6" s="422"/>
      <c r="C6" s="422"/>
      <c r="D6" s="422"/>
      <c r="E6" s="422"/>
      <c r="F6" s="422"/>
      <c r="G6" s="422"/>
      <c r="H6" s="422"/>
      <c r="I6" s="423"/>
      <c r="J6" s="44"/>
      <c r="K6" s="44"/>
    </row>
    <row r="7" spans="1:11" s="5" customFormat="1" ht="16.5" customHeight="1">
      <c r="A7" s="35"/>
      <c r="B7" s="36"/>
      <c r="C7" s="36"/>
      <c r="D7" s="36"/>
      <c r="E7" s="36"/>
      <c r="F7" s="36"/>
      <c r="G7" s="36"/>
      <c r="H7" s="36"/>
      <c r="I7" s="37"/>
      <c r="J7" s="36"/>
      <c r="K7" s="36"/>
    </row>
    <row r="8" spans="1:11" s="4" customFormat="1" ht="12.75" customHeight="1">
      <c r="A8" s="46" t="s">
        <v>333</v>
      </c>
      <c r="B8" s="47"/>
      <c r="C8" s="47"/>
      <c r="D8" s="47"/>
      <c r="E8" s="47"/>
      <c r="F8" s="47"/>
      <c r="G8" s="47"/>
      <c r="H8" s="47"/>
      <c r="I8" s="48"/>
      <c r="J8" s="47"/>
      <c r="K8" s="47"/>
    </row>
    <row r="9" spans="1:12" s="4" customFormat="1" ht="13.5" thickBot="1">
      <c r="A9" s="49" t="s">
        <v>334</v>
      </c>
      <c r="B9" s="50"/>
      <c r="C9" s="50"/>
      <c r="D9" s="50"/>
      <c r="E9" s="50"/>
      <c r="F9" s="50"/>
      <c r="G9" s="50"/>
      <c r="H9" s="50"/>
      <c r="I9" s="51"/>
      <c r="J9" s="52"/>
      <c r="K9" s="52"/>
      <c r="L9" s="55"/>
    </row>
    <row r="10" spans="1:12" s="4" customFormat="1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56"/>
    </row>
    <row r="11" spans="1:12" s="4" customFormat="1" ht="13.5" thickBot="1">
      <c r="A11" s="6"/>
      <c r="J11" s="53"/>
      <c r="K11" s="53"/>
      <c r="L11" s="53"/>
    </row>
    <row r="12" spans="1:12" s="4" customFormat="1" ht="12.75" customHeight="1">
      <c r="A12" s="40" t="s">
        <v>64</v>
      </c>
      <c r="B12" s="41"/>
      <c r="C12" s="41"/>
      <c r="D12" s="41"/>
      <c r="E12" s="41"/>
      <c r="F12" s="41"/>
      <c r="G12" s="41"/>
      <c r="H12" s="41"/>
      <c r="I12" s="42"/>
      <c r="J12" s="47"/>
      <c r="K12" s="47"/>
      <c r="L12" s="53"/>
    </row>
    <row r="13" spans="1:12" s="5" customFormat="1" ht="12.75" customHeight="1">
      <c r="A13" s="43" t="s">
        <v>65</v>
      </c>
      <c r="B13" s="44"/>
      <c r="C13" s="44"/>
      <c r="D13" s="44"/>
      <c r="E13" s="44"/>
      <c r="F13" s="44"/>
      <c r="G13" s="44"/>
      <c r="H13" s="44"/>
      <c r="I13" s="45"/>
      <c r="J13" s="44"/>
      <c r="K13" s="44"/>
      <c r="L13" s="54"/>
    </row>
    <row r="14" spans="1:12" s="5" customFormat="1" ht="12.75" customHeight="1">
      <c r="A14" s="43" t="s">
        <v>66</v>
      </c>
      <c r="B14" s="44"/>
      <c r="C14" s="44"/>
      <c r="D14" s="44"/>
      <c r="E14" s="44"/>
      <c r="F14" s="44"/>
      <c r="G14" s="44"/>
      <c r="H14" s="44"/>
      <c r="I14" s="45"/>
      <c r="J14" s="44"/>
      <c r="K14" s="44"/>
      <c r="L14" s="54"/>
    </row>
    <row r="15" spans="1:12" s="5" customFormat="1" ht="12.75" customHeight="1">
      <c r="A15" s="35"/>
      <c r="B15" s="36"/>
      <c r="C15" s="36"/>
      <c r="D15" s="36"/>
      <c r="E15" s="36"/>
      <c r="F15" s="36"/>
      <c r="G15" s="36"/>
      <c r="H15" s="36"/>
      <c r="I15" s="37"/>
      <c r="J15" s="36"/>
      <c r="K15" s="36"/>
      <c r="L15" s="54"/>
    </row>
    <row r="16" spans="1:12" s="4" customFormat="1" ht="12.75" customHeight="1">
      <c r="A16" s="46" t="s">
        <v>335</v>
      </c>
      <c r="B16" s="47"/>
      <c r="C16" s="47"/>
      <c r="D16" s="47"/>
      <c r="E16" s="47"/>
      <c r="F16" s="47"/>
      <c r="G16" s="47"/>
      <c r="H16" s="47"/>
      <c r="I16" s="48"/>
      <c r="J16" s="47"/>
      <c r="K16" s="47"/>
      <c r="L16" s="53"/>
    </row>
    <row r="17" spans="1:12" s="4" customFormat="1" ht="29.25" customHeight="1" thickBot="1">
      <c r="A17" s="446" t="s">
        <v>117</v>
      </c>
      <c r="B17" s="447"/>
      <c r="C17" s="447"/>
      <c r="D17" s="447"/>
      <c r="E17" s="447"/>
      <c r="F17" s="447"/>
      <c r="G17" s="447"/>
      <c r="H17" s="447"/>
      <c r="I17" s="448"/>
      <c r="J17" s="52"/>
      <c r="K17" s="52"/>
      <c r="L17" s="53"/>
    </row>
    <row r="18" spans="10:12" s="4" customFormat="1" ht="12.75">
      <c r="J18" s="53"/>
      <c r="K18" s="53"/>
      <c r="L18" s="53"/>
    </row>
    <row r="19" s="4" customFormat="1" ht="13.5" thickBot="1"/>
    <row r="20" spans="1:3" s="4" customFormat="1" ht="12.75">
      <c r="A20" s="433" t="s">
        <v>82</v>
      </c>
      <c r="B20" s="434"/>
      <c r="C20" s="435"/>
    </row>
    <row r="21" spans="1:3" s="4" customFormat="1" ht="12.75">
      <c r="A21" s="436"/>
      <c r="B21" s="437"/>
      <c r="C21" s="438"/>
    </row>
    <row r="22" spans="1:3" ht="13.5" thickBot="1">
      <c r="A22" s="436"/>
      <c r="B22" s="437"/>
      <c r="C22" s="438"/>
    </row>
    <row r="23" spans="1:3" ht="48" thickTop="1">
      <c r="A23" s="57" t="s">
        <v>55</v>
      </c>
      <c r="B23" s="58" t="s">
        <v>79</v>
      </c>
      <c r="C23" s="59" t="s">
        <v>80</v>
      </c>
    </row>
    <row r="24" spans="1:3" ht="12.75">
      <c r="A24" s="60">
        <v>2004</v>
      </c>
      <c r="B24" s="61" t="s">
        <v>98</v>
      </c>
      <c r="C24" s="62">
        <v>38</v>
      </c>
    </row>
    <row r="25" spans="1:3" ht="12.75">
      <c r="A25" s="60">
        <v>2005</v>
      </c>
      <c r="B25" s="61" t="s">
        <v>98</v>
      </c>
      <c r="C25" s="62">
        <v>38</v>
      </c>
    </row>
    <row r="26" spans="1:3" ht="12.75">
      <c r="A26" s="60">
        <v>2006</v>
      </c>
      <c r="B26" s="61" t="s">
        <v>81</v>
      </c>
      <c r="C26" s="62">
        <v>39</v>
      </c>
    </row>
    <row r="27" spans="1:3" ht="12.75">
      <c r="A27" s="60">
        <v>2007</v>
      </c>
      <c r="B27" s="61" t="s">
        <v>81</v>
      </c>
      <c r="C27" s="62">
        <v>39</v>
      </c>
    </row>
    <row r="28" spans="1:3" ht="18" customHeight="1" thickBot="1">
      <c r="A28" s="63"/>
      <c r="B28" s="64" t="s">
        <v>99</v>
      </c>
      <c r="C28" s="65"/>
    </row>
    <row r="29" ht="13.5" thickTop="1"/>
    <row r="30" ht="13.5" thickBot="1"/>
    <row r="31" spans="1:3" ht="13.5" thickBot="1">
      <c r="A31" s="443" t="s">
        <v>97</v>
      </c>
      <c r="B31" s="444"/>
      <c r="C31" s="445"/>
    </row>
    <row r="32" spans="1:3" ht="13.5" customHeight="1" thickTop="1">
      <c r="A32" s="429" t="s">
        <v>83</v>
      </c>
      <c r="B32" s="430"/>
      <c r="C32" s="441" t="s">
        <v>84</v>
      </c>
    </row>
    <row r="33" spans="1:3" ht="13.5" thickBot="1">
      <c r="A33" s="431"/>
      <c r="B33" s="432"/>
      <c r="C33" s="442"/>
    </row>
    <row r="34" spans="1:3" ht="13.5" thickTop="1">
      <c r="A34" s="439" t="s">
        <v>85</v>
      </c>
      <c r="B34" s="440"/>
      <c r="C34" s="71" t="s">
        <v>86</v>
      </c>
    </row>
    <row r="35" spans="1:3" ht="12.75" customHeight="1">
      <c r="A35" s="424" t="s">
        <v>87</v>
      </c>
      <c r="B35" s="425"/>
      <c r="C35" s="66" t="s">
        <v>88</v>
      </c>
    </row>
    <row r="36" spans="1:3" ht="12.75">
      <c r="A36" s="424" t="s">
        <v>89</v>
      </c>
      <c r="B36" s="425"/>
      <c r="C36" s="66" t="s">
        <v>90</v>
      </c>
    </row>
    <row r="37" spans="1:3" ht="13.5" thickBot="1">
      <c r="A37" s="427" t="s">
        <v>91</v>
      </c>
      <c r="B37" s="428"/>
      <c r="C37" s="67" t="s">
        <v>92</v>
      </c>
    </row>
    <row r="38" spans="1:3" ht="13.5" thickTop="1">
      <c r="A38" s="68"/>
      <c r="B38" s="69"/>
      <c r="C38" s="70"/>
    </row>
    <row r="39" spans="1:3" s="38" customFormat="1" ht="12.75">
      <c r="A39" s="415" t="s">
        <v>93</v>
      </c>
      <c r="B39" s="416"/>
      <c r="C39" s="417"/>
    </row>
    <row r="40" spans="1:3" s="38" customFormat="1" ht="12.75">
      <c r="A40" s="415" t="s">
        <v>94</v>
      </c>
      <c r="B40" s="416"/>
      <c r="C40" s="417"/>
    </row>
    <row r="41" spans="1:3" s="38" customFormat="1" ht="12.75">
      <c r="A41" s="415" t="s">
        <v>95</v>
      </c>
      <c r="B41" s="416"/>
      <c r="C41" s="417"/>
    </row>
    <row r="42" spans="1:3" s="38" customFormat="1" ht="13.5" thickBot="1">
      <c r="A42" s="418" t="s">
        <v>96</v>
      </c>
      <c r="B42" s="419"/>
      <c r="C42" s="420"/>
    </row>
    <row r="43" ht="13.5" thickTop="1"/>
    <row r="222" spans="10:17" ht="12.75">
      <c r="J222" s="3"/>
      <c r="K222" s="3"/>
      <c r="L222" s="3"/>
      <c r="M222" s="3"/>
      <c r="N222" s="3"/>
      <c r="O222" s="3"/>
      <c r="P222" s="3"/>
      <c r="Q222" s="3"/>
    </row>
    <row r="223" spans="10:17" ht="12.75">
      <c r="J223" s="3"/>
      <c r="K223" s="3"/>
      <c r="L223" s="3"/>
      <c r="M223" s="3"/>
      <c r="N223" s="3"/>
      <c r="O223" s="3"/>
      <c r="P223" s="3"/>
      <c r="Q223" s="3"/>
    </row>
    <row r="224" spans="10:17" ht="12.75">
      <c r="J224" s="3"/>
      <c r="K224" s="3"/>
      <c r="L224" s="3"/>
      <c r="M224" s="3"/>
      <c r="N224" s="3"/>
      <c r="O224" s="3"/>
      <c r="P224" s="3"/>
      <c r="Q224" s="3"/>
    </row>
    <row r="225" spans="10:17" ht="12.75">
      <c r="J225" s="3"/>
      <c r="K225" s="3"/>
      <c r="L225" s="3"/>
      <c r="M225" s="3"/>
      <c r="N225" s="3"/>
      <c r="O225" s="3"/>
      <c r="P225" s="3"/>
      <c r="Q225" s="3"/>
    </row>
    <row r="226" spans="10:17" ht="12.75">
      <c r="J226" s="3"/>
      <c r="K226" s="3"/>
      <c r="L226" s="3"/>
      <c r="M226" s="3"/>
      <c r="N226" s="3"/>
      <c r="O226" s="3"/>
      <c r="P226" s="3"/>
      <c r="Q226" s="3"/>
    </row>
    <row r="227" spans="10:17" ht="12.75">
      <c r="J227" s="3"/>
      <c r="K227" s="3"/>
      <c r="L227" s="3"/>
      <c r="M227" s="3"/>
      <c r="N227" s="3"/>
      <c r="O227" s="3"/>
      <c r="P227" s="3"/>
      <c r="Q227" s="3"/>
    </row>
    <row r="228" spans="10:17" ht="12.75">
      <c r="J228" s="3"/>
      <c r="K228" s="3"/>
      <c r="L228" s="3"/>
      <c r="M228" s="3"/>
      <c r="N228" s="3"/>
      <c r="O228" s="3"/>
      <c r="P228" s="3"/>
      <c r="Q228" s="3"/>
    </row>
    <row r="229" spans="10:17" ht="12.75">
      <c r="J229" s="3"/>
      <c r="K229" s="3"/>
      <c r="L229" s="3"/>
      <c r="M229" s="3"/>
      <c r="N229" s="3"/>
      <c r="O229" s="3"/>
      <c r="P229" s="3"/>
      <c r="Q229" s="3"/>
    </row>
    <row r="230" spans="10:17" ht="12.75">
      <c r="J230" s="3"/>
      <c r="K230" s="3"/>
      <c r="L230" s="3"/>
      <c r="M230" s="3"/>
      <c r="N230" s="3"/>
      <c r="O230" s="3"/>
      <c r="P230" s="3"/>
      <c r="Q230" s="3"/>
    </row>
    <row r="231" spans="10:17" ht="12.75">
      <c r="J231" s="3"/>
      <c r="K231" s="3"/>
      <c r="L231" s="3"/>
      <c r="M231" s="3"/>
      <c r="N231" s="3"/>
      <c r="O231" s="3"/>
      <c r="P231" s="3"/>
      <c r="Q231" s="3"/>
    </row>
    <row r="232" spans="10:17" ht="12.75">
      <c r="J232" s="3"/>
      <c r="K232" s="3"/>
      <c r="L232" s="3"/>
      <c r="M232" s="3"/>
      <c r="N232" s="3"/>
      <c r="O232" s="3"/>
      <c r="P232" s="3"/>
      <c r="Q232" s="3"/>
    </row>
    <row r="233" spans="10:17" ht="12.75">
      <c r="J233" s="3"/>
      <c r="K233" s="3"/>
      <c r="L233" s="3"/>
      <c r="M233" s="3"/>
      <c r="N233" s="3"/>
      <c r="O233" s="3"/>
      <c r="P233" s="3"/>
      <c r="Q233" s="3"/>
    </row>
    <row r="234" spans="10:17" ht="12.75">
      <c r="J234" s="3"/>
      <c r="K234" s="3"/>
      <c r="L234" s="3"/>
      <c r="M234" s="3"/>
      <c r="N234" s="3"/>
      <c r="O234" s="3"/>
      <c r="P234" s="3"/>
      <c r="Q234" s="3"/>
    </row>
    <row r="235" spans="10:17" ht="12.75">
      <c r="J235" s="3"/>
      <c r="K235" s="3"/>
      <c r="L235" s="3"/>
      <c r="M235" s="3"/>
      <c r="N235" s="3"/>
      <c r="O235" s="3"/>
      <c r="P235" s="3"/>
      <c r="Q235" s="3"/>
    </row>
    <row r="236" spans="10:17" ht="12.75">
      <c r="J236" s="3"/>
      <c r="K236" s="3"/>
      <c r="L236" s="3"/>
      <c r="M236" s="3"/>
      <c r="N236" s="3"/>
      <c r="O236" s="3"/>
      <c r="P236" s="3"/>
      <c r="Q236" s="3"/>
    </row>
    <row r="237" spans="10:17" ht="12.75">
      <c r="J237" s="3"/>
      <c r="K237" s="3"/>
      <c r="L237" s="3"/>
      <c r="M237" s="3"/>
      <c r="N237" s="3"/>
      <c r="O237" s="3"/>
      <c r="P237" s="3"/>
      <c r="Q237" s="3"/>
    </row>
    <row r="238" spans="10:17" ht="12.75">
      <c r="J238" s="3"/>
      <c r="K238" s="3"/>
      <c r="L238" s="3"/>
      <c r="M238" s="3"/>
      <c r="N238" s="3"/>
      <c r="O238" s="3"/>
      <c r="P238" s="3"/>
      <c r="Q238" s="3"/>
    </row>
    <row r="239" spans="10:17" ht="12.75">
      <c r="J239" s="3"/>
      <c r="K239" s="3"/>
      <c r="L239" s="3"/>
      <c r="M239" s="3"/>
      <c r="N239" s="3"/>
      <c r="O239" s="3"/>
      <c r="P239" s="3"/>
      <c r="Q239" s="3"/>
    </row>
    <row r="240" spans="10:17" ht="12.75">
      <c r="J240" s="3"/>
      <c r="K240" s="3"/>
      <c r="L240" s="3"/>
      <c r="M240" s="3"/>
      <c r="N240" s="3"/>
      <c r="O240" s="3"/>
      <c r="P240" s="3"/>
      <c r="Q240" s="3"/>
    </row>
    <row r="241" spans="10:17" ht="12.75">
      <c r="J241" s="3"/>
      <c r="K241" s="3"/>
      <c r="L241" s="3"/>
      <c r="M241" s="3"/>
      <c r="N241" s="3"/>
      <c r="O241" s="3"/>
      <c r="P241" s="3"/>
      <c r="Q241" s="3"/>
    </row>
    <row r="242" spans="10:17" ht="12.75">
      <c r="J242" s="3"/>
      <c r="K242" s="3"/>
      <c r="L242" s="3"/>
      <c r="M242" s="3"/>
      <c r="N242" s="3"/>
      <c r="O242" s="3"/>
      <c r="P242" s="3"/>
      <c r="Q242" s="3"/>
    </row>
    <row r="243" spans="10:17" ht="12.75">
      <c r="J243" s="3"/>
      <c r="K243" s="3"/>
      <c r="L243" s="3"/>
      <c r="M243" s="3"/>
      <c r="N243" s="3"/>
      <c r="O243" s="3"/>
      <c r="P243" s="3"/>
      <c r="Q243" s="3"/>
    </row>
    <row r="244" spans="10:17" ht="12.75">
      <c r="J244" s="3"/>
      <c r="K244" s="3"/>
      <c r="L244" s="3"/>
      <c r="M244" s="3"/>
      <c r="N244" s="3"/>
      <c r="O244" s="3"/>
      <c r="P244" s="3"/>
      <c r="Q244" s="3"/>
    </row>
    <row r="245" spans="10:17" ht="12.75">
      <c r="J245" s="3"/>
      <c r="K245" s="3"/>
      <c r="L245" s="3"/>
      <c r="M245" s="3"/>
      <c r="N245" s="3"/>
      <c r="O245" s="3"/>
      <c r="P245" s="3"/>
      <c r="Q245" s="3"/>
    </row>
  </sheetData>
  <sheetProtection selectLockedCells="1" selectUnlockedCells="1"/>
  <mergeCells count="17">
    <mergeCell ref="J3:K3"/>
    <mergeCell ref="A5:I5"/>
    <mergeCell ref="A39:C39"/>
    <mergeCell ref="A37:B37"/>
    <mergeCell ref="A32:B33"/>
    <mergeCell ref="A20:C22"/>
    <mergeCell ref="A34:B34"/>
    <mergeCell ref="C32:C33"/>
    <mergeCell ref="A31:C31"/>
    <mergeCell ref="A17:I17"/>
    <mergeCell ref="A40:C40"/>
    <mergeCell ref="A41:C41"/>
    <mergeCell ref="A42:C42"/>
    <mergeCell ref="A3:I3"/>
    <mergeCell ref="A6:I6"/>
    <mergeCell ref="A35:B35"/>
    <mergeCell ref="A36:B36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Or.S.A. BARI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Pensione FS</dc:title>
  <dc:subject/>
  <dc:creator>Roberto SPADINO</dc:creator>
  <cp:keywords/>
  <dc:description/>
  <cp:lastModifiedBy>proprietario</cp:lastModifiedBy>
  <cp:lastPrinted>2006-01-16T16:04:59Z</cp:lastPrinted>
  <dcterms:created xsi:type="dcterms:W3CDTF">1999-03-05T07:59:59Z</dcterms:created>
  <dcterms:modified xsi:type="dcterms:W3CDTF">2007-05-15T06:47:52Z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